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Anua\Anua\Water\Library-Tools\Quanics\"/>
    </mc:Choice>
  </mc:AlternateContent>
  <xr:revisionPtr revIDLastSave="0" documentId="8_{B11130CC-724B-45E7-95D1-9D0E9E1B6113}" xr6:coauthVersionLast="47" xr6:coauthVersionMax="47" xr10:uidLastSave="{00000000-0000-0000-0000-000000000000}"/>
  <bookViews>
    <workbookView xWindow="-110" yWindow="-110" windowWidth="19420" windowHeight="10420" xr2:uid="{0FA5D6B9-EFB7-494F-89B0-B1FF5604DCD3}"/>
  </bookViews>
  <sheets>
    <sheet name="Cover Page" sheetId="3" r:id="rId1"/>
    <sheet name="Design" sheetId="1" r:id="rId2"/>
    <sheet name="Pump Calcs-1.25in" sheetId="2" r:id="rId3"/>
    <sheet name="Sloped Site Calcs" sheetId="8" r:id="rId4"/>
    <sheet name="Kaplan Calcs" sheetId="9" r:id="rId5"/>
    <sheet name="Allen Calcs" sheetId="6" r:id="rId6"/>
    <sheet name="Poeter Calcs" sheetId="7" r:id="rId7"/>
    <sheet name="Flow per Panel Readings" sheetId="4" r:id="rId8"/>
  </sheets>
  <definedNames>
    <definedName name="_xlnm.Print_Area" localSheetId="1">Design!$A$1:$I$43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9" l="1"/>
  <c r="E20" i="9"/>
  <c r="C38" i="9" l="1"/>
  <c r="C34" i="9"/>
  <c r="C48" i="9" s="1"/>
  <c r="D30" i="9"/>
  <c r="B22" i="9"/>
  <c r="B31" i="9" s="1"/>
  <c r="B32" i="9" s="1"/>
  <c r="I12" i="9"/>
  <c r="H12" i="9"/>
  <c r="G12" i="9"/>
  <c r="H11" i="9"/>
  <c r="G11" i="9"/>
  <c r="J10" i="9"/>
  <c r="I10" i="9"/>
  <c r="G10" i="9"/>
  <c r="J9" i="9"/>
  <c r="H9" i="9"/>
  <c r="C22" i="1"/>
  <c r="C16" i="8"/>
  <c r="E17" i="8" s="1"/>
  <c r="C15" i="8"/>
  <c r="C17" i="8" s="1"/>
  <c r="C14" i="8"/>
  <c r="J20" i="7"/>
  <c r="C20" i="7"/>
  <c r="J19" i="7"/>
  <c r="J18" i="7"/>
  <c r="J17" i="7"/>
  <c r="J16" i="7"/>
  <c r="J15" i="7"/>
  <c r="J14" i="7"/>
  <c r="J13" i="7"/>
  <c r="C13" i="7"/>
  <c r="E13" i="7" s="1"/>
  <c r="J12" i="7"/>
  <c r="E12" i="7"/>
  <c r="J11" i="7"/>
  <c r="E11" i="7"/>
  <c r="J10" i="7"/>
  <c r="E10" i="7"/>
  <c r="J9" i="7"/>
  <c r="E9" i="7"/>
  <c r="E8" i="7"/>
  <c r="C19" i="6"/>
  <c r="K18" i="6"/>
  <c r="K17" i="6"/>
  <c r="C17" i="6"/>
  <c r="K16" i="6"/>
  <c r="C16" i="6"/>
  <c r="K15" i="6"/>
  <c r="K14" i="6"/>
  <c r="K13" i="6"/>
  <c r="K12" i="6"/>
  <c r="E12" i="6"/>
  <c r="K11" i="6"/>
  <c r="E11" i="6"/>
  <c r="K10" i="6"/>
  <c r="K9" i="6"/>
  <c r="K8" i="6"/>
  <c r="E8" i="6"/>
  <c r="E18" i="6" s="1"/>
  <c r="C18" i="6" s="1"/>
  <c r="K7" i="6"/>
  <c r="C37" i="9" l="1"/>
  <c r="C41" i="9"/>
  <c r="C45" i="9"/>
  <c r="B23" i="9" s="1"/>
  <c r="C46" i="9"/>
  <c r="C39" i="9"/>
  <c r="C43" i="9"/>
  <c r="C47" i="9"/>
  <c r="D22" i="9"/>
  <c r="B28" i="9"/>
  <c r="C40" i="9"/>
  <c r="C44" i="9"/>
  <c r="C42" i="9" s="1"/>
  <c r="A14" i="7"/>
  <c r="B14" i="7"/>
  <c r="C14" i="7" s="1"/>
  <c r="D14" i="7" s="1"/>
  <c r="C16" i="7" s="1"/>
  <c r="C17" i="7" s="1"/>
  <c r="C18" i="7"/>
  <c r="C19" i="7" s="1"/>
  <c r="B25" i="9" l="1"/>
  <c r="B24" i="9"/>
  <c r="B27" i="9" s="1"/>
  <c r="B29" i="9" s="1"/>
  <c r="B33" i="9" l="1"/>
  <c r="D33" i="9" s="1"/>
  <c r="B30" i="9"/>
  <c r="D25" i="9"/>
  <c r="B20" i="9"/>
  <c r="B26" i="9"/>
  <c r="D26" i="9" s="1"/>
  <c r="D47" i="4" l="1"/>
  <c r="D48" i="4" s="1"/>
  <c r="D41" i="4"/>
  <c r="D32" i="4"/>
  <c r="D30" i="4"/>
  <c r="D26" i="4"/>
  <c r="F24" i="4"/>
  <c r="D25" i="4" s="1"/>
  <c r="G21" i="2"/>
  <c r="G19" i="2"/>
  <c r="E12" i="2"/>
  <c r="H12" i="2" s="1"/>
  <c r="P13" i="2"/>
  <c r="P14" i="2"/>
  <c r="P19" i="2"/>
  <c r="P18" i="2"/>
  <c r="G18" i="2"/>
  <c r="P17" i="2"/>
  <c r="P16" i="2"/>
  <c r="P15" i="2"/>
  <c r="D31" i="4" l="1"/>
  <c r="D33" i="4" s="1"/>
  <c r="D19" i="4"/>
  <c r="D42" i="4"/>
  <c r="D43" i="4"/>
  <c r="G20" i="2"/>
  <c r="G22" i="2" s="1"/>
  <c r="N20" i="2"/>
  <c r="F12" i="2" s="1"/>
  <c r="G12" i="2" s="1"/>
  <c r="I12" i="2" s="1"/>
  <c r="G23" i="2" l="1"/>
  <c r="G24" i="2" s="1"/>
  <c r="G27" i="2"/>
  <c r="G25" i="2"/>
  <c r="C12" i="1"/>
  <c r="C16" i="1"/>
  <c r="C41" i="1" l="1"/>
  <c r="C40" i="1"/>
  <c r="E38" i="1"/>
  <c r="E37" i="1"/>
  <c r="E36" i="1"/>
  <c r="E39" i="1" s="1"/>
  <c r="M35" i="1"/>
  <c r="L35" i="1"/>
  <c r="K35" i="1"/>
  <c r="C34" i="1"/>
  <c r="E33" i="1"/>
  <c r="C33" i="1"/>
  <c r="E32" i="1"/>
  <c r="E31" i="1"/>
  <c r="C27" i="1"/>
  <c r="C26" i="1"/>
  <c r="C28" i="1" s="1"/>
  <c r="H22" i="1"/>
  <c r="H23" i="1" s="1"/>
  <c r="G34" i="1" s="1"/>
  <c r="H21" i="1"/>
  <c r="E21" i="1"/>
  <c r="H20" i="1"/>
  <c r="H32" i="1" s="1"/>
  <c r="E20" i="1"/>
  <c r="H19" i="1"/>
  <c r="C18" i="1"/>
  <c r="C14" i="1"/>
  <c r="C10" i="1"/>
  <c r="E9" i="1"/>
  <c r="E8" i="1"/>
  <c r="I34" i="1" l="1"/>
  <c r="E35" i="1" s="1"/>
  <c r="H34" i="1" s="1"/>
  <c r="E43" i="1" s="1"/>
  <c r="C39" i="1"/>
  <c r="C42" i="1" s="1"/>
  <c r="E22" i="1"/>
  <c r="C32" i="1"/>
  <c r="C25" i="1"/>
  <c r="H29" i="1"/>
  <c r="H31" i="1" s="1"/>
  <c r="E34" i="1" l="1"/>
  <c r="F34" i="1" s="1"/>
  <c r="E42" i="1" s="1"/>
  <c r="E41" i="1" s="1"/>
  <c r="H27" i="1" s="1"/>
  <c r="H28" i="1" s="1"/>
  <c r="H30" i="1" l="1"/>
  <c r="H33" i="1" s="1"/>
</calcChain>
</file>

<file path=xl/sharedStrings.xml><?xml version="1.0" encoding="utf-8"?>
<sst xmlns="http://schemas.openxmlformats.org/spreadsheetml/2006/main" count="544" uniqueCount="345">
  <si>
    <t>Slope %</t>
  </si>
  <si>
    <t>Slope Correction Factors</t>
  </si>
  <si>
    <t>Design Parameters</t>
  </si>
  <si>
    <t>Design flow</t>
  </si>
  <si>
    <t>gpd</t>
  </si>
  <si>
    <t>Upslope</t>
  </si>
  <si>
    <t>Downslope</t>
  </si>
  <si>
    <t>Occupancy/Population Equivalent</t>
  </si>
  <si>
    <t>people</t>
  </si>
  <si>
    <t>3:1</t>
  </si>
  <si>
    <t>Soil application rate</t>
  </si>
  <si>
    <r>
      <t>gpd/ft</t>
    </r>
    <r>
      <rPr>
        <vertAlign val="superscript"/>
        <sz val="10"/>
        <rFont val="Arial Narrow"/>
        <family val="2"/>
      </rPr>
      <t>2</t>
    </r>
  </si>
  <si>
    <t>Depth to limiting layer</t>
  </si>
  <si>
    <t xml:space="preserve">in </t>
  </si>
  <si>
    <t>Req'd separation to limiting layer</t>
  </si>
  <si>
    <t>Hydraulic loading per linear foot</t>
  </si>
  <si>
    <t>gpd/ft</t>
  </si>
  <si>
    <t>Dispersal option, req'd</t>
  </si>
  <si>
    <t>gal, nominal</t>
  </si>
  <si>
    <r>
      <t xml:space="preserve">DIRECTIONS: Fill-in cells highlighted </t>
    </r>
    <r>
      <rPr>
        <b/>
        <sz val="11"/>
        <color indexed="17"/>
        <rFont val="Arial Narrow"/>
        <family val="2"/>
      </rPr>
      <t>GREEN</t>
    </r>
    <r>
      <rPr>
        <b/>
        <sz val="11"/>
        <rFont val="Arial Narrow"/>
        <family val="2"/>
      </rPr>
      <t>, if applicable.</t>
    </r>
  </si>
  <si>
    <t>State or Other req'd min</t>
  </si>
  <si>
    <t>Yes</t>
  </si>
  <si>
    <t>No</t>
  </si>
  <si>
    <t>Mounded Pad Design</t>
  </si>
  <si>
    <t>Slope ratio</t>
  </si>
  <si>
    <t>:1</t>
  </si>
  <si>
    <r>
      <t>Sand rate, gpd/ft</t>
    </r>
    <r>
      <rPr>
        <vertAlign val="superscript"/>
        <sz val="10"/>
        <rFont val="Arial Narrow"/>
        <family val="2"/>
      </rPr>
      <t>2</t>
    </r>
    <r>
      <rPr>
        <sz val="10"/>
        <rFont val="Arial Narrow"/>
        <family val="2"/>
      </rPr>
      <t xml:space="preserve"> - Sand depth, in</t>
    </r>
  </si>
  <si>
    <r>
      <t>Absorption area width,</t>
    </r>
    <r>
      <rPr>
        <i/>
        <sz val="10"/>
        <rFont val="Arial Narrow"/>
        <family val="2"/>
      </rPr>
      <t xml:space="preserve"> A</t>
    </r>
  </si>
  <si>
    <t>ft</t>
  </si>
  <si>
    <t>Treatment type</t>
  </si>
  <si>
    <r>
      <t xml:space="preserve">Absorption area length, </t>
    </r>
    <r>
      <rPr>
        <i/>
        <sz val="10"/>
        <rFont val="Arial Narrow"/>
        <family val="2"/>
      </rPr>
      <t>B</t>
    </r>
  </si>
  <si>
    <r>
      <t xml:space="preserve">Basal width, </t>
    </r>
    <r>
      <rPr>
        <i/>
        <sz val="10"/>
        <rFont val="Arial Narrow"/>
        <family val="2"/>
      </rPr>
      <t>A+I or A+I+J</t>
    </r>
  </si>
  <si>
    <t>ft, min</t>
  </si>
  <si>
    <t>Pods, req'd</t>
  </si>
  <si>
    <r>
      <t xml:space="preserve">Mound fill depth, </t>
    </r>
    <r>
      <rPr>
        <i/>
        <sz val="10"/>
        <rFont val="Arial Narrow"/>
        <family val="2"/>
      </rPr>
      <t>D</t>
    </r>
  </si>
  <si>
    <t>in</t>
  </si>
  <si>
    <r>
      <t xml:space="preserve">Mound fill depth, </t>
    </r>
    <r>
      <rPr>
        <i/>
        <sz val="10"/>
        <rFont val="Arial Narrow"/>
        <family val="2"/>
      </rPr>
      <t>E</t>
    </r>
  </si>
  <si>
    <t>In-Ground Pad Design</t>
  </si>
  <si>
    <t># Pads</t>
  </si>
  <si>
    <t>end-to-end</t>
  </si>
  <si>
    <r>
      <t xml:space="preserve">Mound depth, </t>
    </r>
    <r>
      <rPr>
        <i/>
        <sz val="10"/>
        <rFont val="Arial Narrow"/>
        <family val="2"/>
      </rPr>
      <t>F</t>
    </r>
  </si>
  <si>
    <t>Pad, W</t>
  </si>
  <si>
    <t>side-to-side</t>
  </si>
  <si>
    <r>
      <t xml:space="preserve">Mound depth, </t>
    </r>
    <r>
      <rPr>
        <i/>
        <sz val="10"/>
        <rFont val="Arial Narrow"/>
        <family val="2"/>
      </rPr>
      <t>G</t>
    </r>
  </si>
  <si>
    <t>Pad, L</t>
  </si>
  <si>
    <r>
      <t xml:space="preserve">Mound depth, </t>
    </r>
    <r>
      <rPr>
        <i/>
        <sz val="10"/>
        <rFont val="Arial Narrow"/>
        <family val="2"/>
      </rPr>
      <t>H</t>
    </r>
  </si>
  <si>
    <t>Pad area</t>
  </si>
  <si>
    <r>
      <t>ft</t>
    </r>
    <r>
      <rPr>
        <vertAlign val="superscript"/>
        <sz val="10"/>
        <rFont val="Arial Narrow"/>
        <family val="2"/>
      </rPr>
      <t>2</t>
    </r>
  </si>
  <si>
    <r>
      <t xml:space="preserve">Downslope width, </t>
    </r>
    <r>
      <rPr>
        <i/>
        <sz val="10"/>
        <rFont val="Arial Narrow"/>
        <family val="2"/>
      </rPr>
      <t>I</t>
    </r>
  </si>
  <si>
    <t>ft, calculated</t>
  </si>
  <si>
    <t>Bottom</t>
  </si>
  <si>
    <r>
      <t xml:space="preserve">Upslope width, </t>
    </r>
    <r>
      <rPr>
        <i/>
        <sz val="10"/>
        <rFont val="Arial Narrow"/>
        <family val="2"/>
      </rPr>
      <t>J</t>
    </r>
  </si>
  <si>
    <t>Sidewall</t>
  </si>
  <si>
    <r>
      <t xml:space="preserve">Endslope length, </t>
    </r>
    <r>
      <rPr>
        <i/>
        <sz val="10"/>
        <rFont val="Arial Narrow"/>
        <family val="2"/>
      </rPr>
      <t>K</t>
    </r>
  </si>
  <si>
    <t>Gravel Trench Design</t>
  </si>
  <si>
    <t>Use bottom or sidewall area?</t>
  </si>
  <si>
    <t>Both</t>
  </si>
  <si>
    <r>
      <t xml:space="preserve">Total width, </t>
    </r>
    <r>
      <rPr>
        <i/>
        <sz val="10"/>
        <rFont val="Arial Narrow"/>
        <family val="2"/>
      </rPr>
      <t>W</t>
    </r>
  </si>
  <si>
    <t>Trench, W and H, in</t>
  </si>
  <si>
    <r>
      <t xml:space="preserve">Total length, </t>
    </r>
    <r>
      <rPr>
        <i/>
        <sz val="10"/>
        <rFont val="Arial Narrow"/>
        <family val="2"/>
      </rPr>
      <t>L</t>
    </r>
  </si>
  <si>
    <t># Trenches</t>
  </si>
  <si>
    <t>ft, end-to-end</t>
  </si>
  <si>
    <t>Trench, L</t>
  </si>
  <si>
    <t>ft, per trench</t>
  </si>
  <si>
    <t>Total mounded pad area</t>
  </si>
  <si>
    <t>Slope Multiplier Look-up</t>
  </si>
  <si>
    <t>Bottom area</t>
  </si>
  <si>
    <t>Slope CF</t>
  </si>
  <si>
    <t>Notes</t>
  </si>
  <si>
    <t>Chamber or Geosynthetic Aggregate Design</t>
  </si>
  <si>
    <t>W and H, in</t>
  </si>
  <si>
    <t>L, in and # units per trench</t>
  </si>
  <si>
    <t>Units, req'd</t>
  </si>
  <si>
    <t>Chamber or bundle model</t>
  </si>
  <si>
    <t>EZflow 0705H-GEO</t>
  </si>
  <si>
    <t>Mounded Pad Diagram</t>
  </si>
  <si>
    <t>NOTES:</t>
  </si>
  <si>
    <t>1.  NOT TO SCALE</t>
  </si>
  <si>
    <t>2.  MODULE DIMENSIONS: 7.08' L x 4.58' W x 2.5' H</t>
  </si>
  <si>
    <t>3.  DIMENSIONS: SIDE VIEW = INCHES, TOP VIEW = FEET</t>
  </si>
  <si>
    <t>A400</t>
  </si>
  <si>
    <t>IM</t>
  </si>
  <si>
    <t>NS</t>
  </si>
  <si>
    <t>AeroCell</t>
  </si>
  <si>
    <t>BioCoir</t>
  </si>
  <si>
    <t>Quanics Pad Dispersal Design Guide</t>
  </si>
  <si>
    <t>NS500</t>
  </si>
  <si>
    <t>NS1000</t>
  </si>
  <si>
    <t>IM540</t>
  </si>
  <si>
    <t>IM1060</t>
  </si>
  <si>
    <t>IM1530</t>
  </si>
  <si>
    <t>Model</t>
  </si>
  <si>
    <t>Dosing Compartment Sizing</t>
  </si>
  <si>
    <t>Dosing compartment size, req'd</t>
  </si>
  <si>
    <t>Pod spacing, ft</t>
  </si>
  <si>
    <r>
      <t xml:space="preserve">Pod spacing, </t>
    </r>
    <r>
      <rPr>
        <i/>
        <sz val="10"/>
        <rFont val="Arial Narrow"/>
        <family val="2"/>
      </rPr>
      <t>M</t>
    </r>
  </si>
  <si>
    <t>Primary compartment size, req'd</t>
  </si>
  <si>
    <t>Primary Compartment Sizing</t>
  </si>
  <si>
    <t>Note: Primary and dosing compartments may be a single, two-compartment tank</t>
  </si>
  <si>
    <r>
      <rPr>
        <b/>
        <sz val="10"/>
        <rFont val="Calibri"/>
        <family val="2"/>
      </rPr>
      <t>©</t>
    </r>
    <r>
      <rPr>
        <b/>
        <sz val="10"/>
        <rFont val="Arial Narrow"/>
        <family val="2"/>
      </rPr>
      <t>2022 Anua</t>
    </r>
  </si>
  <si>
    <t>Minimim (per NSF testing)</t>
  </si>
  <si>
    <t>Minimum (per NSF testing)</t>
  </si>
  <si>
    <t>Pod
Sizing</t>
  </si>
  <si>
    <t>TDH Calculations for Selecting Pump</t>
  </si>
  <si>
    <t>Static head in feet = measured or estimated</t>
  </si>
  <si>
    <r>
      <t>Friction head in feet = (fLv</t>
    </r>
    <r>
      <rPr>
        <vertAlign val="superscript"/>
        <sz val="10"/>
        <rFont val="Arial"/>
        <family val="2"/>
      </rPr>
      <t>2</t>
    </r>
    <r>
      <rPr>
        <sz val="10"/>
        <rFont val="Arial"/>
        <family val="2"/>
      </rPr>
      <t>)/(2gD) = (2.1355 x 10</t>
    </r>
    <r>
      <rPr>
        <vertAlign val="superscript"/>
        <sz val="10"/>
        <rFont val="Arial"/>
        <family val="2"/>
      </rPr>
      <t>-5</t>
    </r>
    <r>
      <rPr>
        <sz val="10"/>
        <rFont val="Arial"/>
        <family val="2"/>
      </rPr>
      <t>)LQ</t>
    </r>
    <r>
      <rPr>
        <vertAlign val="superscript"/>
        <sz val="10"/>
        <rFont val="Arial"/>
        <family val="2"/>
      </rPr>
      <t>2</t>
    </r>
    <r>
      <rPr>
        <sz val="10"/>
        <rFont val="Arial"/>
        <family val="2"/>
      </rPr>
      <t xml:space="preserve"> (Q in gpm, L in feet)</t>
    </r>
  </si>
  <si>
    <r>
      <t>Pressure head in feet = 0.10524(Q/No. Pod)</t>
    </r>
    <r>
      <rPr>
        <vertAlign val="superscript"/>
        <sz val="10"/>
        <rFont val="Arial"/>
        <family val="2"/>
      </rPr>
      <t>2</t>
    </r>
    <r>
      <rPr>
        <sz val="10"/>
        <rFont val="Arial"/>
        <family val="2"/>
      </rPr>
      <t xml:space="preserve"> (Q in gpm) from orifice equations</t>
    </r>
  </si>
  <si>
    <r>
      <t xml:space="preserve">Fill-in cells highlighted </t>
    </r>
    <r>
      <rPr>
        <b/>
        <sz val="10"/>
        <color rgb="FF008000"/>
        <rFont val="Arial"/>
        <family val="2"/>
      </rPr>
      <t>GREEN</t>
    </r>
    <r>
      <rPr>
        <sz val="10"/>
        <rFont val="Arial"/>
        <family val="2"/>
      </rPr>
      <t>, if applicable.</t>
    </r>
  </si>
  <si>
    <t>BOX 1. SYSTEM INFO</t>
  </si>
  <si>
    <t>BOX 2. FORCE MAIN AND FITTINGS</t>
  </si>
  <si>
    <t>No. Pods</t>
  </si>
  <si>
    <t>No. Nozzles
per Pod</t>
  </si>
  <si>
    <t>Nozzle PSI</t>
  </si>
  <si>
    <r>
      <t>h</t>
    </r>
    <r>
      <rPr>
        <vertAlign val="subscript"/>
        <sz val="10"/>
        <rFont val="Arial"/>
        <family val="2"/>
      </rPr>
      <t xml:space="preserve">stat </t>
    </r>
    <r>
      <rPr>
        <sz val="10"/>
        <rFont val="Arial"/>
        <family val="2"/>
      </rPr>
      <t>(feet)</t>
    </r>
  </si>
  <si>
    <t>Q (gpm)</t>
  </si>
  <si>
    <t>L (feet)</t>
  </si>
  <si>
    <r>
      <t>h</t>
    </r>
    <r>
      <rPr>
        <vertAlign val="subscript"/>
        <sz val="10"/>
        <rFont val="Arial"/>
        <family val="2"/>
      </rPr>
      <t xml:space="preserve">f </t>
    </r>
    <r>
      <rPr>
        <sz val="10"/>
        <rFont val="Arial"/>
        <family val="2"/>
      </rPr>
      <t>(feet)</t>
    </r>
  </si>
  <si>
    <r>
      <t>h</t>
    </r>
    <r>
      <rPr>
        <vertAlign val="subscript"/>
        <sz val="10"/>
        <rFont val="Arial"/>
        <family val="2"/>
      </rPr>
      <t xml:space="preserve">p </t>
    </r>
    <r>
      <rPr>
        <sz val="10"/>
        <rFont val="Arial"/>
        <family val="2"/>
      </rPr>
      <t>(feet)</t>
    </r>
  </si>
  <si>
    <t>TDH</t>
  </si>
  <si>
    <t>PVC SCH 40 EQUIVALENT LENGTH ESTIMATE</t>
  </si>
  <si>
    <t>Parameter</t>
  </si>
  <si>
    <t>Feet</t>
  </si>
  <si>
    <t>Number</t>
  </si>
  <si>
    <t>Eq. Length</t>
  </si>
  <si>
    <r>
      <t>Enter force main length</t>
    </r>
    <r>
      <rPr>
        <b/>
        <sz val="8"/>
        <rFont val="Calibri"/>
        <family val="2"/>
      </rPr>
      <t>→</t>
    </r>
  </si>
  <si>
    <t>BOX 3 - PROGRAMMABLE TIMER SETTINGS</t>
  </si>
  <si>
    <r>
      <t>90</t>
    </r>
    <r>
      <rPr>
        <sz val="8"/>
        <rFont val="Calibri"/>
        <family val="2"/>
      </rPr>
      <t>°</t>
    </r>
    <r>
      <rPr>
        <sz val="8"/>
        <rFont val="Arial"/>
        <family val="2"/>
      </rPr>
      <t xml:space="preserve"> elbow</t>
    </r>
  </si>
  <si>
    <t xml:space="preserve">  Design flow </t>
  </si>
  <si>
    <r>
      <t>45</t>
    </r>
    <r>
      <rPr>
        <sz val="8"/>
        <rFont val="Calibri"/>
        <family val="2"/>
      </rPr>
      <t>°</t>
    </r>
    <r>
      <rPr>
        <sz val="8"/>
        <rFont val="Arial"/>
        <family val="2"/>
      </rPr>
      <t xml:space="preserve"> elbow</t>
    </r>
  </si>
  <si>
    <t>gal</t>
  </si>
  <si>
    <t>Tee (diversion)</t>
  </si>
  <si>
    <t xml:space="preserve">  Dosing interval</t>
  </si>
  <si>
    <t>min</t>
  </si>
  <si>
    <r>
      <t>d</t>
    </r>
    <r>
      <rPr>
        <vertAlign val="superscript"/>
        <sz val="10"/>
        <rFont val="Arial"/>
        <family val="2"/>
      </rPr>
      <t>-1</t>
    </r>
  </si>
  <si>
    <t>Check valve</t>
  </si>
  <si>
    <t xml:space="preserve">  Drainback volume per day</t>
  </si>
  <si>
    <t>Ball valve (fully open)</t>
  </si>
  <si>
    <t>EQUIVALENT LENGTH
TOTAL (FEET)</t>
  </si>
  <si>
    <t>sec</t>
  </si>
  <si>
    <t xml:space="preserve">  Nominal dosing tank volume (gal/in)</t>
  </si>
  <si>
    <r>
      <t>gal in</t>
    </r>
    <r>
      <rPr>
        <vertAlign val="superscript"/>
        <sz val="10"/>
        <rFont val="Arial"/>
        <family val="2"/>
      </rPr>
      <t>-1</t>
    </r>
  </si>
  <si>
    <t xml:space="preserve">  Drawdown per dose*</t>
  </si>
  <si>
    <t>*Prior to drainback</t>
  </si>
  <si>
    <t>Loss through drainback hole while pump is active is assumed to be negligible</t>
  </si>
  <si>
    <t>INSTRUCTIONS:</t>
  </si>
  <si>
    <t>1.    ENTER THE NUMBER OF PODS IN BOX 1.</t>
  </si>
  <si>
    <t>2.    ENTER THE NUMBER OF HELICAL SPRAY NOZZLES PER POD IN BOX 1.</t>
  </si>
  <si>
    <t>3.    SELECT 5 OR 7 PSI FROM PULLDOWN MENU IN BOX 1.</t>
  </si>
  <si>
    <t>4.    ENTER THE STATIC HEAD IN BOX 1.</t>
  </si>
  <si>
    <t>5.    ENTER THE FORCE MAIN LENGTH IN BOX 2.</t>
  </si>
  <si>
    <t>6.    ENTER THE NUMBER OF FITTINGS IN BOX 2.</t>
  </si>
  <si>
    <t>7.    WITH ALL ABOVE ENTERED - PLOT TDH FROM BOX 1. ON PUMP CURVE</t>
  </si>
  <si>
    <t>8.    ENTER ANTICIPATED FLOW IN BOX 3.</t>
  </si>
  <si>
    <t>9.    FOR SYSTEMS IN COLD CLIMATES, ENTER DRAINBACK FLOW IN BOX 3.</t>
  </si>
  <si>
    <t>10.  ENTER DOSING INTERVAL IN BOX 3.</t>
  </si>
  <si>
    <t>11.  ENTER DOSING TANK VOLUME (GAL/IN) BOX 3.</t>
  </si>
  <si>
    <r>
      <rPr>
        <b/>
        <sz val="10"/>
        <rFont val="Calibri"/>
        <family val="2"/>
      </rPr>
      <t>©</t>
    </r>
    <r>
      <rPr>
        <b/>
        <sz val="10"/>
        <rFont val="Arial"/>
        <family val="2"/>
      </rPr>
      <t>2022 Anua</t>
    </r>
  </si>
  <si>
    <t>Assumes f = 0.022 for 1.25in pipe typical operating range</t>
  </si>
  <si>
    <t>Coupling</t>
  </si>
  <si>
    <t xml:space="preserve">  Drainback volume per dose to prevent freezing (no check valve)</t>
  </si>
  <si>
    <t xml:space="preserve">  Pump off time per cycle</t>
  </si>
  <si>
    <t xml:space="preserve">  Number of cycles (doses)</t>
  </si>
  <si>
    <t xml:space="preserve">  Pump run time per cycle (if using minutes setting)</t>
  </si>
  <si>
    <t xml:space="preserve">  Pump run time per cycle (if using seconds setting)</t>
  </si>
  <si>
    <t xml:space="preserve">  Net dose volume per pod (drainback not included)</t>
  </si>
  <si>
    <t xml:space="preserve">  Pump total flow (5x design flow; 80% back; 20% forward; +drainback)</t>
  </si>
  <si>
    <t xml:space="preserve">  Total volume per dose (all pods combined)</t>
  </si>
  <si>
    <t>Package Contents</t>
  </si>
  <si>
    <t>Tab</t>
  </si>
  <si>
    <r>
      <t xml:space="preserve">Kaplan Sheet (based on equations in </t>
    </r>
    <r>
      <rPr>
        <i/>
        <sz val="12"/>
        <rFont val="Arial Narrow"/>
        <family val="2"/>
      </rPr>
      <t>Septic Systems Handbook</t>
    </r>
    <r>
      <rPr>
        <sz val="12"/>
        <rFont val="Arial Narrow"/>
        <family val="2"/>
      </rPr>
      <t>)</t>
    </r>
  </si>
  <si>
    <r>
      <t xml:space="preserve">Allen Sheet (based on equations in </t>
    </r>
    <r>
      <rPr>
        <i/>
        <sz val="12"/>
        <rFont val="Arial Narrow"/>
        <family val="2"/>
      </rPr>
      <t>Hydraulic Mounding of Groundwater Under Axisymmetric Recharge</t>
    </r>
    <r>
      <rPr>
        <sz val="12"/>
        <rFont val="Arial Narrow"/>
        <family val="2"/>
      </rPr>
      <t>)</t>
    </r>
  </si>
  <si>
    <r>
      <t xml:space="preserve">Poeter Sheet (based on equations in </t>
    </r>
    <r>
      <rPr>
        <i/>
        <sz val="12"/>
        <rFont val="Arial Narrow"/>
        <family val="2"/>
      </rPr>
      <t>Designing Cluster and High-Density Wastewater Soil Absorption Systems to Control Groundwater Mounding</t>
    </r>
    <r>
      <rPr>
        <sz val="12"/>
        <rFont val="Arial Narrow"/>
        <family val="2"/>
      </rPr>
      <t>)</t>
    </r>
  </si>
  <si>
    <t>Distance to Finished Grade Calculation Sheet</t>
  </si>
  <si>
    <t>Daily Flow Calculation per Panel Readings</t>
  </si>
  <si>
    <r>
      <t xml:space="preserve">Directions: Fill-in applicable cells in </t>
    </r>
    <r>
      <rPr>
        <b/>
        <sz val="10"/>
        <color indexed="17"/>
        <rFont val="Arial Narrow"/>
        <family val="2"/>
      </rPr>
      <t>GREEN</t>
    </r>
    <r>
      <rPr>
        <b/>
        <sz val="10"/>
        <rFont val="Arial Narrow"/>
        <family val="2"/>
      </rPr>
      <t xml:space="preserve">.  Answers appear in </t>
    </r>
    <r>
      <rPr>
        <b/>
        <sz val="10"/>
        <color indexed="12"/>
        <rFont val="Arial Narrow"/>
        <family val="2"/>
      </rPr>
      <t>BLUE</t>
    </r>
    <r>
      <rPr>
        <b/>
        <sz val="10"/>
        <rFont val="Arial Narrow"/>
        <family val="2"/>
      </rPr>
      <t>.</t>
    </r>
  </si>
  <si>
    <r>
      <rPr>
        <b/>
        <sz val="10"/>
        <rFont val="Calibri"/>
        <family val="2"/>
      </rPr>
      <t>©</t>
    </r>
    <r>
      <rPr>
        <b/>
        <sz val="10"/>
        <rFont val="Arial Narrow"/>
        <family val="2"/>
      </rPr>
      <t>2017 Anua</t>
    </r>
  </si>
  <si>
    <t>Project Info</t>
  </si>
  <si>
    <t>Daily design flow</t>
  </si>
  <si>
    <t>Design dose</t>
  </si>
  <si>
    <t>gals per dose</t>
  </si>
  <si>
    <t>Days between visits</t>
  </si>
  <si>
    <t>days</t>
  </si>
  <si>
    <t>Pump performance per drawdown</t>
  </si>
  <si>
    <t>gpm</t>
  </si>
  <si>
    <t>Drawdown Information</t>
  </si>
  <si>
    <t>Gallons per inch</t>
  </si>
  <si>
    <t>Drainback volume</t>
  </si>
  <si>
    <t>gallons</t>
  </si>
  <si>
    <t>Drawdown</t>
  </si>
  <si>
    <t>Elapsed time</t>
  </si>
  <si>
    <t>Pump performance</t>
  </si>
  <si>
    <t>Total dose volume</t>
  </si>
  <si>
    <t xml:space="preserve">Elapsed Time Meter </t>
  </si>
  <si>
    <t>Current reading</t>
  </si>
  <si>
    <t>hr</t>
  </si>
  <si>
    <t>Previous reading</t>
  </si>
  <si>
    <t>Elapsed time between visits</t>
  </si>
  <si>
    <t>System discharge</t>
  </si>
  <si>
    <t>Elapsed Time Meter HH:MM:SS</t>
  </si>
  <si>
    <t>Hours current reading</t>
  </si>
  <si>
    <t>Hours previous reading</t>
  </si>
  <si>
    <t>Minutes current reading</t>
  </si>
  <si>
    <t>Minutes previous reading</t>
  </si>
  <si>
    <t>Seconds current reading</t>
  </si>
  <si>
    <t>Seconds previous reading</t>
  </si>
  <si>
    <t>Total time between visits</t>
  </si>
  <si>
    <t>Pump Performance</t>
  </si>
  <si>
    <t>Cycle Counter</t>
  </si>
  <si>
    <t>Cycle count current reading</t>
  </si>
  <si>
    <t>Cycle count previous reading</t>
  </si>
  <si>
    <t>Total cycles between visits</t>
  </si>
  <si>
    <t>Dispersal Field Water Mounding Calculation Sheet</t>
  </si>
  <si>
    <r>
      <t>Kaplan, 1991 Formulas</t>
    </r>
    <r>
      <rPr>
        <b/>
        <vertAlign val="superscript"/>
        <sz val="14"/>
        <rFont val="Arial Narrow"/>
        <family val="2"/>
      </rPr>
      <t>1</t>
    </r>
  </si>
  <si>
    <r>
      <t>R=√Q/πk'            H=√Q</t>
    </r>
    <r>
      <rPr>
        <vertAlign val="superscript"/>
        <sz val="10"/>
        <rFont val="Arial Narrow"/>
        <family val="2"/>
      </rPr>
      <t>2</t>
    </r>
    <r>
      <rPr>
        <sz val="10"/>
        <rFont val="Arial Narrow"/>
        <family val="2"/>
      </rPr>
      <t>/2kk'</t>
    </r>
  </si>
  <si>
    <r>
      <rPr>
        <b/>
        <sz val="10"/>
        <rFont val="Calibri"/>
        <family val="2"/>
      </rPr>
      <t>©</t>
    </r>
    <r>
      <rPr>
        <b/>
        <sz val="10"/>
        <rFont val="Arial Narrow"/>
        <family val="2"/>
      </rPr>
      <t>2020 Anua</t>
    </r>
  </si>
  <si>
    <r>
      <t>1</t>
    </r>
    <r>
      <rPr>
        <sz val="8"/>
        <rFont val="Arial"/>
        <family val="2"/>
      </rPr>
      <t xml:space="preserve">Kaplan, O. Benjamin (1991).  </t>
    </r>
    <r>
      <rPr>
        <i/>
        <sz val="8"/>
        <rFont val="Arial"/>
        <family val="2"/>
      </rPr>
      <t>Septic Systems Handbook, 2nd Ed.</t>
    </r>
    <r>
      <rPr>
        <sz val="8"/>
        <rFont val="Arial"/>
        <family val="2"/>
      </rPr>
      <t xml:space="preserve">  Lewis Publishers, Inc. Chelsea, MI.</t>
    </r>
  </si>
  <si>
    <t>Pad</t>
  </si>
  <si>
    <t>Mounded Pad</t>
  </si>
  <si>
    <t>Trench</t>
  </si>
  <si>
    <t>Design Inputs</t>
  </si>
  <si>
    <t xml:space="preserve">Project Info </t>
  </si>
  <si>
    <r>
      <t>Conversion Table - Hydraulic Conductivity (K)</t>
    </r>
    <r>
      <rPr>
        <b/>
        <vertAlign val="superscript"/>
        <sz val="10"/>
        <rFont val="Arial Narrow"/>
        <family val="2"/>
      </rPr>
      <t>2</t>
    </r>
  </si>
  <si>
    <t>Bedrooms, no.</t>
  </si>
  <si>
    <t>m/d</t>
  </si>
  <si>
    <t>cm/s</t>
  </si>
  <si>
    <t>ft/d</t>
  </si>
  <si>
    <r>
      <t>gpd/ft</t>
    </r>
    <r>
      <rPr>
        <b/>
        <vertAlign val="superscript"/>
        <sz val="10"/>
        <rFont val="Arial Narrow"/>
        <family val="2"/>
      </rPr>
      <t>2</t>
    </r>
  </si>
  <si>
    <t>Flow per bedroom</t>
  </si>
  <si>
    <r>
      <t>Effluent BOD</t>
    </r>
    <r>
      <rPr>
        <sz val="7"/>
        <rFont val="Arial Narrow"/>
        <family val="2"/>
      </rPr>
      <t>5</t>
    </r>
    <r>
      <rPr>
        <sz val="10"/>
        <rFont val="Arial Narrow"/>
        <family val="2"/>
      </rPr>
      <t xml:space="preserve"> loading</t>
    </r>
  </si>
  <si>
    <t>mg/l</t>
  </si>
  <si>
    <t>Pad, mounded pad or trench?</t>
  </si>
  <si>
    <t>Pad, mounded pad or trench height, H</t>
  </si>
  <si>
    <t>Pad, mounded pad or trench length, L</t>
  </si>
  <si>
    <r>
      <t>2</t>
    </r>
    <r>
      <rPr>
        <sz val="8"/>
        <rFont val="Arial"/>
        <family val="2"/>
      </rPr>
      <t xml:space="preserve">USEPA (1993).  </t>
    </r>
    <r>
      <rPr>
        <i/>
        <sz val="8"/>
        <rFont val="Arial"/>
        <family val="2"/>
      </rPr>
      <t>Wellhead Protection: A Guide for Small Communities.  EPA/625/R-93/002.  USEPA</t>
    </r>
    <r>
      <rPr>
        <sz val="8"/>
        <rFont val="Arial"/>
        <family val="2"/>
      </rPr>
      <t>. Washington, D.C.</t>
    </r>
  </si>
  <si>
    <t>Pad gravel, mounded pad sand or soil Ksat, k</t>
  </si>
  <si>
    <t>Silt Loam</t>
  </si>
  <si>
    <t>Soil Ksat, k'</t>
  </si>
  <si>
    <t>Silty Clay Loam</t>
  </si>
  <si>
    <t>Soil application rate (SAR)</t>
  </si>
  <si>
    <t>Minimum vertical separation (MVS) distance</t>
  </si>
  <si>
    <t>Soil horizon 1 depth</t>
  </si>
  <si>
    <t>Site slope %</t>
  </si>
  <si>
    <t>Design Values</t>
  </si>
  <si>
    <t>Total flow</t>
  </si>
  <si>
    <r>
      <t xml:space="preserve">gpd, </t>
    </r>
    <r>
      <rPr>
        <i/>
        <sz val="10"/>
        <rFont val="Arial Narrow"/>
        <family val="2"/>
      </rPr>
      <t>or</t>
    </r>
  </si>
  <si>
    <r>
      <t>ft</t>
    </r>
    <r>
      <rPr>
        <vertAlign val="superscript"/>
        <sz val="10"/>
        <rFont val="Arial Narrow"/>
        <family val="2"/>
      </rPr>
      <t>3</t>
    </r>
  </si>
  <si>
    <t>Basal radius, R</t>
  </si>
  <si>
    <t>Water mounding height, H</t>
  </si>
  <si>
    <r>
      <t xml:space="preserve">ft, </t>
    </r>
    <r>
      <rPr>
        <i/>
        <sz val="10"/>
        <rFont val="Arial Narrow"/>
        <family val="2"/>
      </rPr>
      <t>or</t>
    </r>
  </si>
  <si>
    <t>Total MVS req'd</t>
  </si>
  <si>
    <r>
      <t>Basal area, A</t>
    </r>
    <r>
      <rPr>
        <sz val="7"/>
        <rFont val="Arial Narrow"/>
        <family val="2"/>
      </rPr>
      <t>b</t>
    </r>
  </si>
  <si>
    <t>Pad, mounded pad or trench area per SAR</t>
  </si>
  <si>
    <t>Pad, mounded pad or trench area, req'd</t>
  </si>
  <si>
    <t>Pad, mounded pad or trench dimensions</t>
  </si>
  <si>
    <t>ft W</t>
  </si>
  <si>
    <t>ft L</t>
  </si>
  <si>
    <t xml:space="preserve">gpd/ft </t>
  </si>
  <si>
    <r>
      <t xml:space="preserve">Absorptive area width (gpd/ft </t>
    </r>
    <r>
      <rPr>
        <sz val="11"/>
        <color theme="1"/>
        <rFont val="Calibri"/>
        <family val="2"/>
        <scheme val="minor"/>
      </rPr>
      <t>÷</t>
    </r>
    <r>
      <rPr>
        <sz val="10"/>
        <rFont val="Arial Narrow"/>
        <family val="2"/>
      </rPr>
      <t xml:space="preserve"> gpd/ft</t>
    </r>
    <r>
      <rPr>
        <vertAlign val="superscript"/>
        <sz val="10"/>
        <rFont val="Arial Narrow"/>
        <family val="2"/>
      </rPr>
      <t>2</t>
    </r>
    <r>
      <rPr>
        <sz val="10"/>
        <rFont val="Arial Narrow"/>
        <family val="2"/>
      </rPr>
      <t>)</t>
    </r>
  </si>
  <si>
    <r>
      <t>BOD</t>
    </r>
    <r>
      <rPr>
        <sz val="7"/>
        <rFont val="Arial Narrow"/>
        <family val="2"/>
      </rPr>
      <t>5</t>
    </r>
    <r>
      <rPr>
        <sz val="10"/>
        <rFont val="Arial Narrow"/>
        <family val="2"/>
      </rPr>
      <t xml:space="preserve"> dispersal field loading</t>
    </r>
  </si>
  <si>
    <r>
      <t>lbs/d/ft</t>
    </r>
    <r>
      <rPr>
        <vertAlign val="superscript"/>
        <sz val="10"/>
        <rFont val="Arial Narrow"/>
        <family val="2"/>
      </rPr>
      <t>2</t>
    </r>
  </si>
  <si>
    <t>Ksat Values</t>
  </si>
  <si>
    <t>Rawls et al, 1998</t>
  </si>
  <si>
    <t>VA AOSS Regulations, 2011</t>
  </si>
  <si>
    <t>mm/h</t>
  </si>
  <si>
    <t>cm/d</t>
  </si>
  <si>
    <t>Sand</t>
  </si>
  <si>
    <t>&gt;17</t>
  </si>
  <si>
    <t>&gt;4.17</t>
  </si>
  <si>
    <t>Fine Sand</t>
  </si>
  <si>
    <t>Loamy Sand</t>
  </si>
  <si>
    <t>Sandy Loam</t>
  </si>
  <si>
    <t>10 to 17</t>
  </si>
  <si>
    <t>2.45 to 4.17</t>
  </si>
  <si>
    <t>Loam</t>
  </si>
  <si>
    <t>Sandy Clay Loam</t>
  </si>
  <si>
    <t>4 to &lt;10</t>
  </si>
  <si>
    <t>0.98 to &lt;2.45</t>
  </si>
  <si>
    <t>Clay Loam</t>
  </si>
  <si>
    <t>Sandy Clay</t>
  </si>
  <si>
    <t>&lt;4</t>
  </si>
  <si>
    <t>&lt;0.98</t>
  </si>
  <si>
    <t>Silty Clay</t>
  </si>
  <si>
    <t>Clay</t>
  </si>
  <si>
    <t>©2020 Anua</t>
  </si>
  <si>
    <t>Q</t>
  </si>
  <si>
    <t>Hydraulic loading</t>
  </si>
  <si>
    <r>
      <t>ft</t>
    </r>
    <r>
      <rPr>
        <vertAlign val="superscript"/>
        <sz val="10"/>
        <color indexed="8"/>
        <rFont val="Arial Narrow"/>
        <family val="2"/>
      </rPr>
      <t>3</t>
    </r>
    <r>
      <rPr>
        <sz val="10"/>
        <color indexed="8"/>
        <rFont val="Arial Narrow"/>
        <family val="2"/>
      </rPr>
      <t>/d</t>
    </r>
  </si>
  <si>
    <t>l</t>
  </si>
  <si>
    <t>Length</t>
  </si>
  <si>
    <t>W</t>
  </si>
  <si>
    <t>Width</t>
  </si>
  <si>
    <t>K</t>
  </si>
  <si>
    <t>Hydraulic conductivity (select soil texture)</t>
  </si>
  <si>
    <t>SAR</t>
  </si>
  <si>
    <r>
      <t>gpd/ft</t>
    </r>
    <r>
      <rPr>
        <vertAlign val="superscript"/>
        <sz val="10"/>
        <color indexed="8"/>
        <rFont val="Arial Narrow"/>
        <family val="2"/>
      </rPr>
      <t>2</t>
    </r>
  </si>
  <si>
    <t>D</t>
  </si>
  <si>
    <t>Initial distance of saturation</t>
  </si>
  <si>
    <t>R</t>
  </si>
  <si>
    <t>Radius of drainfield</t>
  </si>
  <si>
    <t>A</t>
  </si>
  <si>
    <t>Drainfield area</t>
  </si>
  <si>
    <r>
      <t>ft</t>
    </r>
    <r>
      <rPr>
        <vertAlign val="superscript"/>
        <sz val="10"/>
        <color indexed="8"/>
        <rFont val="Arial Narrow"/>
        <family val="2"/>
      </rPr>
      <t>2</t>
    </r>
  </si>
  <si>
    <t xml:space="preserve">Silty Clay  </t>
  </si>
  <si>
    <t>S</t>
  </si>
  <si>
    <t>Water mound height above saturation depth</t>
  </si>
  <si>
    <t>L</t>
  </si>
  <si>
    <t>Distance to lateral control (absorptive width)</t>
  </si>
  <si>
    <t>Allen, 1980 Formulas</t>
  </si>
  <si>
    <t>Allen, D.H.  (1980).  Hydraulic Mounding of Groundwater Under Axisymmetric Recharge.  Water Resource Research Center, University of New Hampshire.  Durham, NH.</t>
  </si>
  <si>
    <t>Volumetric (hydraulic) loading</t>
  </si>
  <si>
    <r>
      <t>m</t>
    </r>
    <r>
      <rPr>
        <vertAlign val="superscript"/>
        <sz val="10"/>
        <rFont val="Arial Narrow"/>
        <family val="2"/>
      </rPr>
      <t>3</t>
    </r>
    <r>
      <rPr>
        <sz val="10"/>
        <rFont val="Arial Narrow"/>
        <family val="2"/>
      </rPr>
      <t>/d</t>
    </r>
  </si>
  <si>
    <t>Overall drainfield length</t>
  </si>
  <si>
    <t>m</t>
  </si>
  <si>
    <t>Overall drainfield width</t>
  </si>
  <si>
    <t xml:space="preserve">m </t>
  </si>
  <si>
    <r>
      <t>K</t>
    </r>
    <r>
      <rPr>
        <b/>
        <vertAlign val="subscript"/>
        <sz val="10"/>
        <rFont val="Arial Narrow"/>
        <family val="2"/>
      </rPr>
      <t>1</t>
    </r>
  </si>
  <si>
    <t>Horizontal hydraulic conductivity, upper layer</t>
  </si>
  <si>
    <r>
      <t>K</t>
    </r>
    <r>
      <rPr>
        <b/>
        <vertAlign val="subscript"/>
        <sz val="10"/>
        <rFont val="Arial Narrow"/>
        <family val="2"/>
      </rPr>
      <t>2</t>
    </r>
  </si>
  <si>
    <t>Vertical hydraulic conductivity, lower layer</t>
  </si>
  <si>
    <t>q'</t>
  </si>
  <si>
    <r>
      <t>Infiltration rate (if q' &gt; K</t>
    </r>
    <r>
      <rPr>
        <vertAlign val="subscript"/>
        <sz val="10"/>
        <rFont val="Arial Narrow"/>
        <family val="2"/>
      </rPr>
      <t xml:space="preserve"> </t>
    </r>
    <r>
      <rPr>
        <sz val="10"/>
        <rFont val="Arial Narrow"/>
        <family val="2"/>
      </rPr>
      <t>of upper layer, surfacing may occur)</t>
    </r>
  </si>
  <si>
    <r>
      <t>H</t>
    </r>
    <r>
      <rPr>
        <b/>
        <vertAlign val="subscript"/>
        <sz val="10"/>
        <rFont val="Arial Narrow"/>
        <family val="2"/>
      </rPr>
      <t>max</t>
    </r>
  </si>
  <si>
    <t>Maximum water mound height</t>
  </si>
  <si>
    <r>
      <t>L</t>
    </r>
    <r>
      <rPr>
        <b/>
        <vertAlign val="subscript"/>
        <sz val="10"/>
        <rFont val="Arial Narrow"/>
        <family val="2"/>
      </rPr>
      <t>ext</t>
    </r>
  </si>
  <si>
    <t>Lateral extent of water mounding</t>
  </si>
  <si>
    <t>Poeter, et al., 2005 Formulas</t>
  </si>
  <si>
    <r>
      <t xml:space="preserve">Poeter, E., McCray, J., Thyne, G., and Siegrist, R.  (2005).  Designing Cluster and High-Density Wastewater Soil Absorption Systems to Control Groundwater Mounding.  </t>
    </r>
    <r>
      <rPr>
        <i/>
        <sz val="8"/>
        <rFont val="Arial"/>
        <family val="2"/>
      </rPr>
      <t>Small Flows Quarterly, Winter 2005, Vol. 6, No. 1, pp 36-48</t>
    </r>
    <r>
      <rPr>
        <sz val="8"/>
        <rFont val="Arial"/>
        <family val="2"/>
      </rPr>
      <t>.  Morgantown, WV.</t>
    </r>
  </si>
  <si>
    <t>DF</t>
  </si>
  <si>
    <t xml:space="preserve">gpd </t>
  </si>
  <si>
    <t>H</t>
  </si>
  <si>
    <t>Slope</t>
  </si>
  <si>
    <t>Pad width</t>
  </si>
  <si>
    <t>Pad length</t>
  </si>
  <si>
    <t>B</t>
  </si>
  <si>
    <t>Infiltrative width required</t>
  </si>
  <si>
    <t>Distance to surface</t>
  </si>
  <si>
    <t>HLLF</t>
  </si>
  <si>
    <t>ID</t>
  </si>
  <si>
    <t>Infiltrative distance</t>
  </si>
  <si>
    <t>Pod bury depth + pad height</t>
  </si>
  <si>
    <t>Design Package</t>
  </si>
  <si>
    <t>©2022 Anua</t>
  </si>
  <si>
    <t>Pad Dispersal Design Guide</t>
  </si>
  <si>
    <t>TDH Calculations for Selecting System Pump (1.25 inch force main)</t>
  </si>
  <si>
    <t>v.240906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</si>
</sst>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164" formatCode="#,##0.0"/>
    <numFmt numFmtId="165" formatCode="0.0%"/>
    <numFmt numFmtId="166" formatCode="0.0"/>
    <numFmt numFmtId="167" formatCode="#,##0.0000"/>
    <numFmt numFmtId="168" formatCode="#,##0.000"/>
    <numFmt numFmtId="169" formatCode="#,##0.00000"/>
  </numFmts>
  <fonts count="68" x14ac:knownFonts="1">
    <font>
      <sz val="11"/>
      <color theme="1"/>
      <name val="Calibri"/>
      <family val="2"/>
      <scheme val="minor"/>
    </font>
    <font>
      <sz val="10"/>
      <name val="Arial"/>
      <family val="2"/>
    </font>
    <font>
      <b/>
      <sz val="18"/>
      <name val="Arial"/>
      <family val="2"/>
    </font>
    <font>
      <b/>
      <sz val="18"/>
      <name val="Arial Narrow"/>
      <family val="2"/>
    </font>
    <font>
      <b/>
      <sz val="8"/>
      <name val="Arial Narrow"/>
      <family val="2"/>
    </font>
    <font>
      <sz val="8"/>
      <name val="Arial"/>
      <family val="2"/>
    </font>
    <font>
      <sz val="8"/>
      <name val="Arial Narrow"/>
      <family val="2"/>
    </font>
    <font>
      <sz val="8"/>
      <color rgb="FFFF0000"/>
      <name val="Arial"/>
      <family val="2"/>
    </font>
    <font>
      <b/>
      <sz val="10"/>
      <name val="Arial Narrow"/>
      <family val="2"/>
    </font>
    <font>
      <sz val="10"/>
      <name val="Arial Narrow"/>
      <family val="2"/>
    </font>
    <font>
      <b/>
      <sz val="10"/>
      <color indexed="9"/>
      <name val="Arial Narrow"/>
      <family val="2"/>
    </font>
    <font>
      <sz val="2"/>
      <name val="Arial"/>
      <family val="2"/>
    </font>
    <font>
      <vertAlign val="superscript"/>
      <sz val="10"/>
      <name val="Arial Narrow"/>
      <family val="2"/>
    </font>
    <font>
      <b/>
      <sz val="11"/>
      <name val="Arial Narrow"/>
      <family val="2"/>
    </font>
    <font>
      <b/>
      <sz val="11"/>
      <color indexed="17"/>
      <name val="Arial Narrow"/>
      <family val="2"/>
    </font>
    <font>
      <b/>
      <sz val="10"/>
      <name val="Calibri"/>
      <family val="2"/>
    </font>
    <font>
      <b/>
      <sz val="10"/>
      <color theme="0"/>
      <name val="Arial Narrow"/>
      <family val="2"/>
    </font>
    <font>
      <i/>
      <sz val="10"/>
      <name val="Arial Narrow"/>
      <family val="2"/>
    </font>
    <font>
      <sz val="10"/>
      <color theme="0"/>
      <name val="Arial Narrow"/>
      <family val="2"/>
    </font>
    <font>
      <sz val="2"/>
      <name val="Arial Narrow"/>
      <family val="2"/>
    </font>
    <font>
      <sz val="2"/>
      <color rgb="FFFF0000"/>
      <name val="Arial"/>
      <family val="2"/>
    </font>
    <font>
      <sz val="11"/>
      <name val="Arial"/>
      <family val="2"/>
    </font>
    <font>
      <b/>
      <i/>
      <sz val="9"/>
      <name val="Arial Narrow"/>
      <family val="2"/>
    </font>
    <font>
      <sz val="14"/>
      <name val="Arial"/>
      <family val="2"/>
    </font>
    <font>
      <b/>
      <sz val="10"/>
      <name val="Arial"/>
      <family val="2"/>
    </font>
    <font>
      <vertAlign val="superscript"/>
      <sz val="10"/>
      <name val="Arial"/>
      <family val="2"/>
    </font>
    <font>
      <b/>
      <sz val="10"/>
      <color rgb="FF008000"/>
      <name val="Arial"/>
      <family val="2"/>
    </font>
    <font>
      <sz val="10"/>
      <color theme="0"/>
      <name val="Arial"/>
      <family val="2"/>
    </font>
    <font>
      <vertAlign val="subscript"/>
      <sz val="10"/>
      <name val="Arial"/>
      <family val="2"/>
    </font>
    <font>
      <b/>
      <sz val="10"/>
      <color theme="0"/>
      <name val="Arial"/>
      <family val="2"/>
    </font>
    <font>
      <b/>
      <sz val="10"/>
      <color indexed="9"/>
      <name val="Arial"/>
      <family val="2"/>
    </font>
    <font>
      <b/>
      <sz val="10"/>
      <color rgb="FF0000FF"/>
      <name val="Arial"/>
      <family val="2"/>
    </font>
    <font>
      <b/>
      <sz val="8"/>
      <name val="Arial"/>
      <family val="2"/>
    </font>
    <font>
      <sz val="10"/>
      <color indexed="9"/>
      <name val="Arial"/>
      <family val="2"/>
    </font>
    <font>
      <b/>
      <sz val="8"/>
      <name val="Calibri"/>
      <family val="2"/>
    </font>
    <font>
      <b/>
      <sz val="8"/>
      <color indexed="9"/>
      <name val="Arial"/>
      <family val="2"/>
    </font>
    <font>
      <sz val="8"/>
      <name val="Calibri"/>
      <family val="2"/>
    </font>
    <font>
      <b/>
      <sz val="8"/>
      <color rgb="FF0000FF"/>
      <name val="Arial"/>
      <family val="2"/>
    </font>
    <font>
      <sz val="10"/>
      <color indexed="56"/>
      <name val="Arial"/>
      <family val="2"/>
    </font>
    <font>
      <i/>
      <sz val="10"/>
      <name val="Arial"/>
      <family val="2"/>
    </font>
    <font>
      <b/>
      <sz val="8"/>
      <color theme="0" tint="-4.9989318521683403E-2"/>
      <name val="Arial"/>
      <family val="2"/>
    </font>
    <font>
      <b/>
      <sz val="10"/>
      <color theme="0" tint="-4.9989318521683403E-2"/>
      <name val="Arial"/>
      <family val="2"/>
    </font>
    <font>
      <sz val="10"/>
      <name val="Arial"/>
      <family val="2"/>
    </font>
    <font>
      <sz val="24"/>
      <name val="Arial"/>
      <family val="2"/>
    </font>
    <font>
      <b/>
      <sz val="14"/>
      <name val="Arial Narrow"/>
      <family val="2"/>
    </font>
    <font>
      <b/>
      <sz val="12"/>
      <name val="Arial Narrow"/>
      <family val="2"/>
    </font>
    <font>
      <sz val="12"/>
      <name val="Arial Narrow"/>
      <family val="2"/>
    </font>
    <font>
      <i/>
      <sz val="12"/>
      <name val="Arial Narrow"/>
      <family val="2"/>
    </font>
    <font>
      <b/>
      <sz val="10"/>
      <color indexed="17"/>
      <name val="Arial Narrow"/>
      <family val="2"/>
    </font>
    <font>
      <b/>
      <sz val="10"/>
      <color indexed="12"/>
      <name val="Arial Narrow"/>
      <family val="2"/>
    </font>
    <font>
      <sz val="10"/>
      <color indexed="9"/>
      <name val="Arial Narrow"/>
      <family val="2"/>
    </font>
    <font>
      <b/>
      <vertAlign val="superscript"/>
      <sz val="14"/>
      <name val="Arial Narrow"/>
      <family val="2"/>
    </font>
    <font>
      <sz val="10"/>
      <name val="Rockwell Condensed"/>
      <family val="1"/>
    </font>
    <font>
      <vertAlign val="superscript"/>
      <sz val="8"/>
      <name val="Arial"/>
      <family val="2"/>
    </font>
    <font>
      <i/>
      <sz val="8"/>
      <name val="Arial"/>
      <family val="2"/>
    </font>
    <font>
      <b/>
      <vertAlign val="superscript"/>
      <sz val="10"/>
      <name val="Arial Narrow"/>
      <family val="2"/>
    </font>
    <font>
      <sz val="7"/>
      <name val="Arial Narrow"/>
      <family val="2"/>
    </font>
    <font>
      <sz val="12"/>
      <name val="Arial"/>
      <family val="2"/>
    </font>
    <font>
      <sz val="11"/>
      <color indexed="8"/>
      <name val="Calibri"/>
      <family val="2"/>
    </font>
    <font>
      <sz val="10"/>
      <color indexed="8"/>
      <name val="Arial"/>
      <family val="2"/>
    </font>
    <font>
      <sz val="10"/>
      <color indexed="8"/>
      <name val="Calibri"/>
      <family val="2"/>
    </font>
    <font>
      <sz val="10"/>
      <color indexed="8"/>
      <name val="Arial Narrow"/>
      <family val="2"/>
    </font>
    <font>
      <b/>
      <sz val="10"/>
      <color indexed="8"/>
      <name val="Arial Narrow"/>
      <family val="2"/>
    </font>
    <font>
      <vertAlign val="superscript"/>
      <sz val="10"/>
      <color indexed="8"/>
      <name val="Arial Narrow"/>
      <family val="2"/>
    </font>
    <font>
      <b/>
      <vertAlign val="subscript"/>
      <sz val="10"/>
      <name val="Arial Narrow"/>
      <family val="2"/>
    </font>
    <font>
      <vertAlign val="subscript"/>
      <sz val="10"/>
      <name val="Arial Narrow"/>
      <family val="2"/>
    </font>
    <font>
      <sz val="10"/>
      <color indexed="10"/>
      <name val="Arial Narrow"/>
      <family val="2"/>
    </font>
    <font>
      <sz val="10"/>
      <color rgb="FFFF0000"/>
      <name val="Arial Narrow"/>
      <family val="2"/>
    </font>
  </fonts>
  <fills count="8">
    <fill>
      <patternFill patternType="none"/>
    </fill>
    <fill>
      <patternFill patternType="gray125"/>
    </fill>
    <fill>
      <patternFill patternType="solid">
        <fgColor indexed="17"/>
        <bgColor indexed="64"/>
      </patternFill>
    </fill>
    <fill>
      <patternFill patternType="solid">
        <fgColor rgb="FFCCFF99"/>
        <bgColor indexed="64"/>
      </patternFill>
    </fill>
    <fill>
      <patternFill patternType="solid">
        <fgColor rgb="FF00800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00FF"/>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7">
    <xf numFmtId="0" fontId="0" fillId="0" borderId="0"/>
    <xf numFmtId="0" fontId="1" fillId="0" borderId="0"/>
    <xf numFmtId="0" fontId="21" fillId="0" borderId="0"/>
    <xf numFmtId="0" fontId="1" fillId="0" borderId="0"/>
    <xf numFmtId="0" fontId="42" fillId="0" borderId="0"/>
    <xf numFmtId="0" fontId="58" fillId="0" borderId="0"/>
    <xf numFmtId="0" fontId="1" fillId="0" borderId="0"/>
  </cellStyleXfs>
  <cellXfs count="562">
    <xf numFmtId="0" fontId="0" fillId="0" borderId="0" xfId="0"/>
    <xf numFmtId="0" fontId="3" fillId="0" borderId="0" xfId="1" applyFont="1" applyAlignment="1" applyProtection="1">
      <alignment vertical="center"/>
      <protection hidden="1"/>
    </xf>
    <xf numFmtId="0" fontId="1" fillId="0" borderId="0" xfId="1" applyAlignment="1">
      <alignment vertical="center"/>
    </xf>
    <xf numFmtId="0" fontId="4" fillId="0" borderId="0" xfId="1" applyFont="1" applyAlignment="1" applyProtection="1">
      <alignment vertical="center"/>
      <protection hidden="1"/>
    </xf>
    <xf numFmtId="0" fontId="5" fillId="0" borderId="0" xfId="1" applyFont="1" applyAlignment="1">
      <alignment vertical="center"/>
    </xf>
    <xf numFmtId="0" fontId="6" fillId="0" borderId="0" xfId="1" applyFont="1" applyAlignment="1">
      <alignment vertical="center"/>
    </xf>
    <xf numFmtId="0" fontId="6" fillId="0" borderId="0" xfId="1" applyFont="1" applyAlignment="1">
      <alignment horizontal="center" vertical="center"/>
    </xf>
    <xf numFmtId="0" fontId="7" fillId="0" borderId="0" xfId="1" applyFont="1" applyAlignment="1">
      <alignment vertical="center"/>
    </xf>
    <xf numFmtId="0" fontId="8" fillId="0" borderId="4" xfId="1" applyFont="1" applyBorder="1" applyAlignment="1" applyProtection="1">
      <alignment horizontal="center" vertical="center"/>
      <protection hidden="1"/>
    </xf>
    <xf numFmtId="0" fontId="9" fillId="0" borderId="8" xfId="1" applyFont="1" applyBorder="1" applyProtection="1">
      <protection hidden="1"/>
    </xf>
    <xf numFmtId="3" fontId="10" fillId="2" borderId="9" xfId="1" applyNumberFormat="1" applyFont="1" applyFill="1" applyBorder="1" applyAlignment="1" applyProtection="1">
      <alignment horizontal="right"/>
      <protection locked="0"/>
    </xf>
    <xf numFmtId="0" fontId="9" fillId="0" borderId="10" xfId="1" applyFont="1" applyBorder="1" applyAlignment="1" applyProtection="1">
      <alignment horizontal="left"/>
      <protection hidden="1"/>
    </xf>
    <xf numFmtId="0" fontId="9" fillId="0" borderId="0" xfId="1" applyFont="1"/>
    <xf numFmtId="0" fontId="9" fillId="0" borderId="11" xfId="1" applyFont="1" applyBorder="1" applyAlignment="1" applyProtection="1">
      <alignment horizontal="center"/>
      <protection hidden="1"/>
    </xf>
    <xf numFmtId="49" fontId="8" fillId="0" borderId="12" xfId="1" applyNumberFormat="1" applyFont="1" applyBorder="1" applyAlignment="1" applyProtection="1">
      <alignment horizontal="center"/>
      <protection hidden="1"/>
    </xf>
    <xf numFmtId="49" fontId="8" fillId="0" borderId="13" xfId="1" applyNumberFormat="1" applyFont="1" applyBorder="1" applyAlignment="1" applyProtection="1">
      <alignment horizontal="center"/>
      <protection hidden="1"/>
    </xf>
    <xf numFmtId="0" fontId="11" fillId="0" borderId="0" xfId="1" applyFont="1"/>
    <xf numFmtId="0" fontId="9" fillId="0" borderId="15" xfId="1" applyFont="1" applyBorder="1" applyProtection="1">
      <protection hidden="1"/>
    </xf>
    <xf numFmtId="164" fontId="10" fillId="2" borderId="0" xfId="1" applyNumberFormat="1" applyFont="1" applyFill="1" applyAlignment="1" applyProtection="1">
      <alignment horizontal="right"/>
      <protection locked="0"/>
    </xf>
    <xf numFmtId="0" fontId="9" fillId="0" borderId="16" xfId="1" applyFont="1" applyBorder="1" applyAlignment="1" applyProtection="1">
      <alignment horizontal="left"/>
      <protection hidden="1"/>
    </xf>
    <xf numFmtId="0" fontId="9" fillId="0" borderId="11" xfId="1" applyFont="1" applyBorder="1" applyProtection="1">
      <protection hidden="1"/>
    </xf>
    <xf numFmtId="49" fontId="8" fillId="0" borderId="17" xfId="1" applyNumberFormat="1" applyFont="1" applyBorder="1" applyAlignment="1" applyProtection="1">
      <alignment horizontal="center"/>
      <protection hidden="1"/>
    </xf>
    <xf numFmtId="49" fontId="8" fillId="0" borderId="18" xfId="1" applyNumberFormat="1" applyFont="1" applyBorder="1" applyAlignment="1" applyProtection="1">
      <alignment horizontal="center"/>
      <protection hidden="1"/>
    </xf>
    <xf numFmtId="4" fontId="10" fillId="2" borderId="0" xfId="1" applyNumberFormat="1" applyFont="1" applyFill="1" applyAlignment="1" applyProtection="1">
      <alignment horizontal="right"/>
      <protection locked="0"/>
    </xf>
    <xf numFmtId="2" fontId="9" fillId="0" borderId="19" xfId="1" applyNumberFormat="1" applyFont="1" applyBorder="1" applyAlignment="1" applyProtection="1">
      <alignment horizontal="center"/>
      <protection hidden="1"/>
    </xf>
    <xf numFmtId="2" fontId="9" fillId="0" borderId="20" xfId="1" applyNumberFormat="1" applyFont="1" applyBorder="1" applyAlignment="1" applyProtection="1">
      <alignment horizontal="center"/>
      <protection hidden="1"/>
    </xf>
    <xf numFmtId="165" fontId="10" fillId="2" borderId="0" xfId="1" applyNumberFormat="1" applyFont="1" applyFill="1" applyAlignment="1" applyProtection="1">
      <alignment horizontal="right"/>
      <protection locked="0"/>
    </xf>
    <xf numFmtId="0" fontId="8" fillId="0" borderId="22" xfId="1" applyFont="1" applyBorder="1" applyProtection="1">
      <protection hidden="1"/>
    </xf>
    <xf numFmtId="3" fontId="8" fillId="3" borderId="23" xfId="1" applyNumberFormat="1" applyFont="1" applyFill="1" applyBorder="1" applyAlignment="1" applyProtection="1">
      <alignment horizontal="right"/>
      <protection hidden="1"/>
    </xf>
    <xf numFmtId="0" fontId="9" fillId="0" borderId="24" xfId="1" applyFont="1" applyBorder="1" applyAlignment="1" applyProtection="1">
      <alignment horizontal="left"/>
      <protection hidden="1"/>
    </xf>
    <xf numFmtId="0" fontId="8" fillId="0" borderId="0" xfId="1" applyFont="1" applyAlignment="1" applyProtection="1">
      <alignment vertical="center"/>
      <protection hidden="1"/>
    </xf>
    <xf numFmtId="3" fontId="9" fillId="0" borderId="9" xfId="1" applyNumberFormat="1" applyFont="1" applyBorder="1" applyAlignment="1" applyProtection="1">
      <alignment horizontal="right"/>
      <protection hidden="1"/>
    </xf>
    <xf numFmtId="0" fontId="9" fillId="0" borderId="15" xfId="1" applyFont="1" applyBorder="1" applyAlignment="1" applyProtection="1">
      <alignment wrapText="1"/>
      <protection hidden="1"/>
    </xf>
    <xf numFmtId="3" fontId="10" fillId="2" borderId="0" xfId="1" applyNumberFormat="1" applyFont="1" applyFill="1" applyAlignment="1" applyProtection="1">
      <alignment horizontal="right" vertical="center"/>
      <protection locked="0"/>
    </xf>
    <xf numFmtId="0" fontId="9" fillId="0" borderId="16" xfId="1" applyFont="1" applyBorder="1" applyAlignment="1" applyProtection="1">
      <alignment horizontal="left" vertical="center"/>
      <protection hidden="1"/>
    </xf>
    <xf numFmtId="0" fontId="8" fillId="0" borderId="22" xfId="1" applyFont="1" applyBorder="1" applyAlignment="1" applyProtection="1">
      <alignment wrapText="1"/>
      <protection hidden="1"/>
    </xf>
    <xf numFmtId="3" fontId="8" fillId="0" borderId="23" xfId="1" applyNumberFormat="1" applyFont="1" applyBorder="1" applyAlignment="1" applyProtection="1">
      <alignment horizontal="right" vertical="center"/>
      <protection hidden="1"/>
    </xf>
    <xf numFmtId="0" fontId="8" fillId="0" borderId="24" xfId="1" applyFont="1" applyBorder="1" applyAlignment="1" applyProtection="1">
      <alignment horizontal="left" vertical="center"/>
      <protection hidden="1"/>
    </xf>
    <xf numFmtId="0" fontId="13" fillId="0" borderId="0" xfId="1" applyFont="1" applyAlignment="1" applyProtection="1">
      <alignment vertical="center"/>
      <protection hidden="1"/>
    </xf>
    <xf numFmtId="0" fontId="8" fillId="0" borderId="0" xfId="1" applyFont="1" applyAlignment="1">
      <alignment horizontal="center" vertical="center" wrapText="1"/>
    </xf>
    <xf numFmtId="0" fontId="9" fillId="0" borderId="0" xfId="1" applyFont="1" applyAlignment="1">
      <alignment wrapText="1"/>
    </xf>
    <xf numFmtId="3" fontId="9" fillId="0" borderId="0" xfId="1" applyNumberFormat="1" applyFont="1" applyAlignment="1">
      <alignment vertical="center"/>
    </xf>
    <xf numFmtId="0" fontId="9" fillId="0" borderId="0" xfId="1" applyFont="1" applyAlignment="1">
      <alignment horizontal="left" vertical="center"/>
    </xf>
    <xf numFmtId="0" fontId="8" fillId="0" borderId="25" xfId="1" applyFont="1" applyBorder="1" applyAlignment="1" applyProtection="1">
      <alignment horizontal="center" vertical="top"/>
      <protection hidden="1"/>
    </xf>
    <xf numFmtId="0" fontId="8" fillId="0" borderId="0" xfId="1" applyFont="1" applyAlignment="1" applyProtection="1">
      <alignment vertical="top"/>
      <protection locked="0"/>
    </xf>
    <xf numFmtId="3" fontId="9" fillId="0" borderId="9" xfId="1" applyNumberFormat="1" applyFont="1" applyBorder="1" applyAlignment="1" applyProtection="1">
      <alignment horizontal="right" vertical="center"/>
      <protection hidden="1"/>
    </xf>
    <xf numFmtId="0" fontId="9" fillId="0" borderId="10" xfId="1" applyFont="1" applyBorder="1" applyAlignment="1" applyProtection="1">
      <alignment horizontal="left" vertical="center"/>
      <protection hidden="1"/>
    </xf>
    <xf numFmtId="0" fontId="9" fillId="0" borderId="8" xfId="1" applyFont="1" applyBorder="1" applyAlignment="1" applyProtection="1">
      <alignment vertical="top"/>
      <protection hidden="1"/>
    </xf>
    <xf numFmtId="0" fontId="9" fillId="0" borderId="10" xfId="1" applyFont="1" applyBorder="1" applyProtection="1">
      <protection hidden="1"/>
    </xf>
    <xf numFmtId="0" fontId="8" fillId="0" borderId="22" xfId="1" applyFont="1" applyBorder="1" applyAlignment="1" applyProtection="1">
      <alignment vertical="center"/>
      <protection hidden="1"/>
    </xf>
    <xf numFmtId="0" fontId="9" fillId="0" borderId="15" xfId="1" applyFont="1" applyBorder="1" applyAlignment="1" applyProtection="1">
      <alignment vertical="top"/>
      <protection hidden="1"/>
    </xf>
    <xf numFmtId="164" fontId="16" fillId="4" borderId="0" xfId="1" applyNumberFormat="1" applyFont="1" applyFill="1" applyAlignment="1" applyProtection="1">
      <alignment horizontal="right"/>
      <protection locked="0"/>
    </xf>
    <xf numFmtId="0" fontId="16" fillId="4" borderId="16" xfId="1" applyFont="1" applyFill="1" applyBorder="1" applyAlignment="1" applyProtection="1">
      <alignment horizontal="right"/>
      <protection locked="0"/>
    </xf>
    <xf numFmtId="166" fontId="9" fillId="0" borderId="0" xfId="1" applyNumberFormat="1" applyFont="1" applyAlignment="1" applyProtection="1">
      <alignment vertical="top"/>
      <protection hidden="1"/>
    </xf>
    <xf numFmtId="0" fontId="9" fillId="0" borderId="16" xfId="1" applyFont="1" applyBorder="1" applyAlignment="1" applyProtection="1">
      <alignment vertical="top"/>
      <protection hidden="1"/>
    </xf>
    <xf numFmtId="0" fontId="9" fillId="0" borderId="8" xfId="1" applyFont="1" applyBorder="1" applyAlignment="1" applyProtection="1">
      <alignment wrapText="1"/>
      <protection hidden="1"/>
    </xf>
    <xf numFmtId="0" fontId="8" fillId="0" borderId="10" xfId="1" applyFont="1" applyBorder="1" applyAlignment="1" applyProtection="1">
      <alignment vertical="center" wrapText="1"/>
      <protection hidden="1"/>
    </xf>
    <xf numFmtId="0" fontId="8" fillId="0" borderId="16" xfId="1" applyFont="1" applyBorder="1" applyAlignment="1" applyProtection="1">
      <alignment vertical="center"/>
      <protection hidden="1"/>
    </xf>
    <xf numFmtId="0" fontId="9" fillId="0" borderId="16" xfId="1" applyFont="1" applyBorder="1" applyProtection="1">
      <protection hidden="1"/>
    </xf>
    <xf numFmtId="0" fontId="8" fillId="0" borderId="24" xfId="1" applyFont="1" applyBorder="1" applyAlignment="1" applyProtection="1">
      <alignment horizontal="center" vertical="center"/>
      <protection hidden="1"/>
    </xf>
    <xf numFmtId="1" fontId="9" fillId="0" borderId="0" xfId="1" applyNumberFormat="1" applyFont="1" applyAlignment="1" applyProtection="1">
      <alignment vertical="top"/>
      <protection hidden="1"/>
    </xf>
    <xf numFmtId="3" fontId="9" fillId="0" borderId="0" xfId="1" applyNumberFormat="1" applyFont="1" applyProtection="1">
      <protection hidden="1"/>
    </xf>
    <xf numFmtId="0" fontId="9" fillId="0" borderId="0" xfId="1" applyFont="1" applyAlignment="1">
      <alignment horizontal="left"/>
    </xf>
    <xf numFmtId="0" fontId="9" fillId="0" borderId="9" xfId="1" applyFont="1" applyBorder="1" applyProtection="1">
      <protection hidden="1"/>
    </xf>
    <xf numFmtId="0" fontId="9" fillId="0" borderId="0" xfId="1" applyFont="1" applyProtection="1">
      <protection hidden="1"/>
    </xf>
    <xf numFmtId="164" fontId="9" fillId="0" borderId="0" xfId="1" applyNumberFormat="1" applyFont="1" applyAlignment="1" applyProtection="1">
      <alignment horizontal="right"/>
      <protection hidden="1"/>
    </xf>
    <xf numFmtId="166" fontId="9" fillId="0" borderId="0" xfId="1" applyNumberFormat="1" applyFont="1" applyAlignment="1">
      <alignment horizontal="center"/>
    </xf>
    <xf numFmtId="3" fontId="9" fillId="0" borderId="0" xfId="1" applyNumberFormat="1" applyFont="1" applyAlignment="1" applyProtection="1">
      <alignment horizontal="right"/>
      <protection hidden="1"/>
    </xf>
    <xf numFmtId="0" fontId="9" fillId="0" borderId="23" xfId="1" applyFont="1" applyBorder="1" applyAlignment="1" applyProtection="1">
      <alignment wrapText="1"/>
      <protection hidden="1"/>
    </xf>
    <xf numFmtId="164" fontId="9" fillId="0" borderId="23" xfId="1" applyNumberFormat="1" applyFont="1" applyBorder="1" applyAlignment="1" applyProtection="1">
      <alignment horizontal="right"/>
      <protection hidden="1"/>
    </xf>
    <xf numFmtId="0" fontId="16" fillId="4" borderId="24" xfId="1" applyFont="1" applyFill="1" applyBorder="1" applyAlignment="1" applyProtection="1">
      <alignment horizontal="left"/>
      <protection locked="0"/>
    </xf>
    <xf numFmtId="0" fontId="8" fillId="0" borderId="0" xfId="1" applyFont="1" applyAlignment="1" applyProtection="1">
      <alignment vertical="center" wrapText="1"/>
      <protection hidden="1"/>
    </xf>
    <xf numFmtId="1" fontId="8" fillId="0" borderId="0" xfId="1" applyNumberFormat="1" applyFont="1" applyAlignment="1" applyProtection="1">
      <alignment horizontal="right"/>
      <protection locked="0"/>
    </xf>
    <xf numFmtId="0" fontId="8" fillId="0" borderId="0" xfId="1" applyFont="1" applyAlignment="1" applyProtection="1">
      <alignment horizontal="left"/>
      <protection hidden="1"/>
    </xf>
    <xf numFmtId="1" fontId="10" fillId="2" borderId="9" xfId="1" applyNumberFormat="1" applyFont="1" applyFill="1" applyBorder="1" applyAlignment="1" applyProtection="1">
      <alignment horizontal="right"/>
      <protection locked="0"/>
    </xf>
    <xf numFmtId="0" fontId="9" fillId="0" borderId="26" xfId="1" applyFont="1" applyBorder="1" applyProtection="1">
      <protection hidden="1"/>
    </xf>
    <xf numFmtId="2" fontId="9" fillId="0" borderId="27" xfId="1" applyNumberFormat="1" applyFont="1" applyBorder="1" applyAlignment="1" applyProtection="1">
      <alignment horizontal="center"/>
      <protection hidden="1"/>
    </xf>
    <xf numFmtId="2" fontId="9" fillId="0" borderId="28" xfId="1" applyNumberFormat="1" applyFont="1" applyBorder="1" applyAlignment="1" applyProtection="1">
      <alignment horizontal="center"/>
      <protection hidden="1"/>
    </xf>
    <xf numFmtId="1" fontId="10" fillId="2" borderId="0" xfId="1" applyNumberFormat="1" applyFont="1" applyFill="1" applyAlignment="1" applyProtection="1">
      <alignment horizontal="right"/>
      <protection locked="0"/>
    </xf>
    <xf numFmtId="0" fontId="10" fillId="2" borderId="16" xfId="1" applyFont="1" applyFill="1" applyBorder="1" applyAlignment="1" applyProtection="1">
      <alignment horizontal="right"/>
      <protection locked="0"/>
    </xf>
    <xf numFmtId="0" fontId="9" fillId="0" borderId="22" xfId="1" applyFont="1" applyBorder="1" applyProtection="1">
      <protection hidden="1"/>
    </xf>
    <xf numFmtId="3" fontId="9" fillId="0" borderId="23" xfId="1" applyNumberFormat="1" applyFont="1" applyBorder="1" applyAlignment="1" applyProtection="1">
      <alignment horizontal="right"/>
      <protection hidden="1"/>
    </xf>
    <xf numFmtId="166" fontId="18" fillId="0" borderId="0" xfId="1" applyNumberFormat="1" applyFont="1" applyAlignment="1" applyProtection="1">
      <alignment horizontal="center" vertical="center" wrapText="1"/>
      <protection hidden="1"/>
    </xf>
    <xf numFmtId="166" fontId="18" fillId="0" borderId="0" xfId="1" applyNumberFormat="1" applyFont="1" applyAlignment="1" applyProtection="1">
      <alignment horizontal="center"/>
      <protection hidden="1"/>
    </xf>
    <xf numFmtId="0" fontId="1" fillId="0" borderId="0" xfId="1"/>
    <xf numFmtId="0" fontId="8" fillId="0" borderId="17" xfId="1" applyFont="1" applyBorder="1" applyAlignment="1" applyProtection="1">
      <alignment horizontal="center"/>
      <protection hidden="1"/>
    </xf>
    <xf numFmtId="0" fontId="8" fillId="0" borderId="25" xfId="1" applyFont="1" applyBorder="1" applyAlignment="1" applyProtection="1">
      <alignment horizontal="center"/>
      <protection hidden="1"/>
    </xf>
    <xf numFmtId="0" fontId="8" fillId="0" borderId="18" xfId="1" applyFont="1" applyBorder="1" applyAlignment="1" applyProtection="1">
      <alignment horizontal="center"/>
      <protection hidden="1"/>
    </xf>
    <xf numFmtId="0" fontId="8" fillId="0" borderId="0" xfId="1" applyFont="1" applyAlignment="1" applyProtection="1">
      <alignment vertical="justify" wrapText="1"/>
      <protection locked="0"/>
    </xf>
    <xf numFmtId="9" fontId="9" fillId="0" borderId="32" xfId="1" applyNumberFormat="1" applyFont="1" applyBorder="1" applyProtection="1">
      <protection hidden="1"/>
    </xf>
    <xf numFmtId="2" fontId="9" fillId="0" borderId="33" xfId="1" applyNumberFormat="1" applyFont="1" applyBorder="1" applyAlignment="1" applyProtection="1">
      <alignment horizontal="center"/>
      <protection hidden="1"/>
    </xf>
    <xf numFmtId="2" fontId="9" fillId="0" borderId="34" xfId="1" applyNumberFormat="1" applyFont="1" applyBorder="1" applyAlignment="1" applyProtection="1">
      <alignment horizontal="center"/>
      <protection hidden="1"/>
    </xf>
    <xf numFmtId="3" fontId="10" fillId="2" borderId="0" xfId="1" applyNumberFormat="1" applyFont="1" applyFill="1" applyAlignment="1" applyProtection="1">
      <alignment horizontal="right"/>
      <protection locked="0"/>
    </xf>
    <xf numFmtId="3" fontId="10" fillId="2" borderId="16" xfId="1" applyNumberFormat="1" applyFont="1" applyFill="1" applyBorder="1" applyAlignment="1" applyProtection="1">
      <alignment horizontal="right"/>
      <protection locked="0"/>
    </xf>
    <xf numFmtId="0" fontId="16" fillId="4" borderId="16" xfId="1" applyFont="1" applyFill="1" applyBorder="1" applyAlignment="1" applyProtection="1">
      <alignment horizontal="right"/>
      <protection locked="0" hidden="1"/>
    </xf>
    <xf numFmtId="0" fontId="8" fillId="0" borderId="15" xfId="1" applyFont="1" applyBorder="1" applyProtection="1">
      <protection hidden="1"/>
    </xf>
    <xf numFmtId="3" fontId="8" fillId="0" borderId="0" xfId="1" applyNumberFormat="1" applyFont="1" applyAlignment="1" applyProtection="1">
      <alignment horizontal="right"/>
      <protection hidden="1"/>
    </xf>
    <xf numFmtId="0" fontId="9" fillId="0" borderId="16" xfId="1" applyFont="1" applyBorder="1" applyAlignment="1" applyProtection="1">
      <alignment horizontal="center"/>
      <protection hidden="1"/>
    </xf>
    <xf numFmtId="0" fontId="8" fillId="0" borderId="0" xfId="1" applyFont="1" applyAlignment="1" applyProtection="1">
      <alignment horizontal="center" vertical="top"/>
      <protection hidden="1"/>
    </xf>
    <xf numFmtId="0" fontId="19" fillId="0" borderId="0" xfId="1" applyFont="1"/>
    <xf numFmtId="0" fontId="19" fillId="0" borderId="0" xfId="1" applyFont="1" applyAlignment="1">
      <alignment horizontal="center"/>
    </xf>
    <xf numFmtId="0" fontId="20" fillId="0" borderId="0" xfId="1" applyFont="1" applyProtection="1">
      <protection hidden="1"/>
    </xf>
    <xf numFmtId="0" fontId="8" fillId="0" borderId="0" xfId="1" applyFont="1" applyAlignment="1">
      <alignment horizontal="center"/>
    </xf>
    <xf numFmtId="0" fontId="8" fillId="0" borderId="35" xfId="1" applyFont="1" applyBorder="1"/>
    <xf numFmtId="0" fontId="8" fillId="0" borderId="36" xfId="1" applyFont="1" applyBorder="1"/>
    <xf numFmtId="0" fontId="9" fillId="0" borderId="19" xfId="1" applyFont="1" applyBorder="1"/>
    <xf numFmtId="0" fontId="9" fillId="0" borderId="0" xfId="1" applyFont="1" applyAlignment="1">
      <alignment horizontal="center"/>
    </xf>
    <xf numFmtId="0" fontId="1" fillId="0" borderId="20" xfId="1" applyBorder="1"/>
    <xf numFmtId="164" fontId="8" fillId="0" borderId="0" xfId="1" applyNumberFormat="1" applyFont="1" applyAlignment="1">
      <alignment horizontal="left"/>
    </xf>
    <xf numFmtId="164" fontId="1" fillId="0" borderId="0" xfId="1" applyNumberFormat="1"/>
    <xf numFmtId="0" fontId="9" fillId="0" borderId="27" xfId="1" applyFont="1" applyBorder="1"/>
    <xf numFmtId="0" fontId="1" fillId="0" borderId="38" xfId="1" applyBorder="1"/>
    <xf numFmtId="0" fontId="9" fillId="0" borderId="38" xfId="1" applyFont="1" applyBorder="1"/>
    <xf numFmtId="0" fontId="9" fillId="0" borderId="38" xfId="1" applyFont="1" applyBorder="1" applyAlignment="1">
      <alignment horizontal="center"/>
    </xf>
    <xf numFmtId="0" fontId="8" fillId="0" borderId="28" xfId="1" applyFont="1" applyBorder="1" applyAlignment="1">
      <alignment horizontal="center"/>
    </xf>
    <xf numFmtId="3" fontId="16" fillId="4" borderId="0" xfId="1" applyNumberFormat="1" applyFont="1" applyFill="1" applyAlignment="1" applyProtection="1">
      <alignment horizontal="right" vertical="center"/>
      <protection locked="0"/>
    </xf>
    <xf numFmtId="0" fontId="9" fillId="0" borderId="0" xfId="2" applyFont="1" applyAlignment="1">
      <alignment horizontal="center"/>
    </xf>
    <xf numFmtId="0" fontId="18" fillId="0" borderId="0" xfId="2" applyFont="1" applyAlignment="1" applyProtection="1">
      <alignment horizontal="center"/>
      <protection hidden="1"/>
    </xf>
    <xf numFmtId="0" fontId="16" fillId="0" borderId="0" xfId="1" applyFont="1" applyProtection="1">
      <protection hidden="1"/>
    </xf>
    <xf numFmtId="2" fontId="16" fillId="0" borderId="0" xfId="1" applyNumberFormat="1" applyFont="1" applyProtection="1">
      <protection hidden="1"/>
    </xf>
    <xf numFmtId="3" fontId="16" fillId="0" borderId="0" xfId="1" applyNumberFormat="1" applyFont="1" applyProtection="1">
      <protection hidden="1"/>
    </xf>
    <xf numFmtId="0" fontId="18" fillId="0" borderId="0" xfId="1" applyFont="1" applyProtection="1">
      <protection hidden="1"/>
    </xf>
    <xf numFmtId="166" fontId="18" fillId="0" borderId="0" xfId="1" applyNumberFormat="1" applyFont="1" applyProtection="1">
      <protection hidden="1"/>
    </xf>
    <xf numFmtId="2" fontId="18" fillId="0" borderId="0" xfId="1" applyNumberFormat="1" applyFont="1" applyProtection="1">
      <protection hidden="1"/>
    </xf>
    <xf numFmtId="9" fontId="18" fillId="0" borderId="0" xfId="1" applyNumberFormat="1" applyFont="1" applyProtection="1">
      <protection hidden="1"/>
    </xf>
    <xf numFmtId="9" fontId="18" fillId="0" borderId="0" xfId="1" applyNumberFormat="1" applyFont="1" applyAlignment="1" applyProtection="1">
      <alignment vertical="justify" wrapText="1"/>
      <protection hidden="1"/>
    </xf>
    <xf numFmtId="0" fontId="18" fillId="0" borderId="0" xfId="1" applyFont="1" applyAlignment="1" applyProtection="1">
      <alignment vertical="justify" wrapText="1"/>
      <protection hidden="1"/>
    </xf>
    <xf numFmtId="2" fontId="18" fillId="0" borderId="0" xfId="1" applyNumberFormat="1" applyFont="1" applyAlignment="1" applyProtection="1">
      <alignment vertical="justify" wrapText="1"/>
      <protection hidden="1"/>
    </xf>
    <xf numFmtId="166" fontId="18" fillId="0" borderId="0" xfId="1" applyNumberFormat="1" applyFont="1" applyAlignment="1" applyProtection="1">
      <alignment vertical="justify" wrapText="1"/>
      <protection hidden="1"/>
    </xf>
    <xf numFmtId="166" fontId="9" fillId="0" borderId="0" xfId="1" applyNumberFormat="1" applyFont="1" applyAlignment="1" applyProtection="1">
      <alignment horizontal="right" vertical="top"/>
      <protection hidden="1"/>
    </xf>
    <xf numFmtId="0" fontId="16" fillId="0" borderId="15" xfId="1" applyFont="1" applyBorder="1" applyProtection="1">
      <protection hidden="1"/>
    </xf>
    <xf numFmtId="0" fontId="18" fillId="0" borderId="0" xfId="1" applyFont="1"/>
    <xf numFmtId="0" fontId="5" fillId="0" borderId="36" xfId="1" applyFont="1" applyBorder="1" applyAlignment="1">
      <alignment vertical="center"/>
    </xf>
    <xf numFmtId="0" fontId="23" fillId="0" borderId="0" xfId="3" applyFont="1"/>
    <xf numFmtId="0" fontId="1" fillId="0" borderId="0" xfId="3"/>
    <xf numFmtId="0" fontId="24" fillId="0" borderId="0" xfId="3" applyFont="1"/>
    <xf numFmtId="0" fontId="27" fillId="0" borderId="0" xfId="3" applyFont="1" applyProtection="1">
      <protection hidden="1"/>
    </xf>
    <xf numFmtId="0" fontId="1" fillId="0" borderId="42" xfId="3" applyBorder="1" applyAlignment="1">
      <alignment horizontal="center" vertical="center"/>
    </xf>
    <xf numFmtId="0" fontId="1" fillId="0" borderId="42" xfId="3" applyBorder="1" applyAlignment="1">
      <alignment horizontal="center" vertical="center" wrapText="1"/>
    </xf>
    <xf numFmtId="0" fontId="1" fillId="0" borderId="0" xfId="3" applyAlignment="1">
      <alignment vertical="center"/>
    </xf>
    <xf numFmtId="3" fontId="29" fillId="4" borderId="25" xfId="3" applyNumberFormat="1" applyFont="1" applyFill="1" applyBorder="1" applyAlignment="1" applyProtection="1">
      <alignment horizontal="center"/>
      <protection locked="0"/>
    </xf>
    <xf numFmtId="0" fontId="30" fillId="2" borderId="25" xfId="3" applyFont="1" applyFill="1" applyBorder="1" applyAlignment="1" applyProtection="1">
      <alignment horizontal="center"/>
      <protection locked="0"/>
    </xf>
    <xf numFmtId="164" fontId="30" fillId="2" borderId="25" xfId="3" applyNumberFormat="1" applyFont="1" applyFill="1" applyBorder="1" applyAlignment="1" applyProtection="1">
      <alignment horizontal="center"/>
      <protection locked="0"/>
    </xf>
    <xf numFmtId="164" fontId="31" fillId="0" borderId="25" xfId="3" applyNumberFormat="1" applyFont="1" applyBorder="1" applyAlignment="1">
      <alignment horizontal="center"/>
    </xf>
    <xf numFmtId="167" fontId="32" fillId="0" borderId="48" xfId="3" applyNumberFormat="1" applyFont="1" applyBorder="1" applyAlignment="1">
      <alignment horizontal="center" vertical="center" wrapText="1"/>
    </xf>
    <xf numFmtId="0" fontId="32" fillId="0" borderId="48" xfId="3" applyFont="1" applyBorder="1" applyAlignment="1">
      <alignment horizontal="center" vertical="center"/>
    </xf>
    <xf numFmtId="0" fontId="32" fillId="0" borderId="49" xfId="3" applyFont="1" applyBorder="1" applyAlignment="1">
      <alignment horizontal="center" vertical="center"/>
    </xf>
    <xf numFmtId="164" fontId="24" fillId="0" borderId="0" xfId="3" applyNumberFormat="1" applyFont="1" applyAlignment="1">
      <alignment horizontal="center"/>
    </xf>
    <xf numFmtId="0" fontId="33" fillId="0" borderId="0" xfId="3" applyFont="1" applyAlignment="1">
      <alignment horizontal="center"/>
    </xf>
    <xf numFmtId="2" fontId="24" fillId="0" borderId="0" xfId="3" applyNumberFormat="1" applyFont="1" applyAlignment="1">
      <alignment horizontal="center"/>
    </xf>
    <xf numFmtId="2" fontId="33" fillId="0" borderId="0" xfId="3" applyNumberFormat="1" applyFont="1"/>
    <xf numFmtId="4" fontId="1" fillId="0" borderId="0" xfId="3" applyNumberFormat="1"/>
    <xf numFmtId="4" fontId="24" fillId="0" borderId="0" xfId="3" applyNumberFormat="1" applyFont="1" applyAlignment="1">
      <alignment horizontal="right"/>
    </xf>
    <xf numFmtId="167" fontId="32" fillId="0" borderId="15" xfId="3" applyNumberFormat="1" applyFont="1" applyBorder="1" applyAlignment="1">
      <alignment horizontal="left"/>
    </xf>
    <xf numFmtId="167" fontId="32" fillId="0" borderId="50" xfId="3" applyNumberFormat="1" applyFont="1" applyBorder="1" applyAlignment="1">
      <alignment horizontal="center"/>
    </xf>
    <xf numFmtId="164" fontId="35" fillId="2" borderId="0" xfId="3" applyNumberFormat="1" applyFont="1" applyFill="1" applyAlignment="1" applyProtection="1">
      <alignment horizontal="center"/>
      <protection locked="0"/>
    </xf>
    <xf numFmtId="0" fontId="24" fillId="0" borderId="0" xfId="3" applyFont="1" applyAlignment="1">
      <alignment horizontal="left"/>
    </xf>
    <xf numFmtId="167" fontId="5" fillId="0" borderId="15" xfId="3" applyNumberFormat="1" applyFont="1" applyBorder="1" applyAlignment="1">
      <alignment horizontal="left"/>
    </xf>
    <xf numFmtId="167" fontId="5" fillId="0" borderId="50" xfId="3" applyNumberFormat="1" applyFont="1" applyBorder="1" applyAlignment="1">
      <alignment horizontal="center"/>
    </xf>
    <xf numFmtId="3" fontId="35" fillId="2" borderId="53" xfId="3" applyNumberFormat="1" applyFont="1" applyFill="1" applyBorder="1" applyAlignment="1" applyProtection="1">
      <alignment horizontal="center"/>
      <protection locked="0"/>
    </xf>
    <xf numFmtId="0" fontId="1" fillId="0" borderId="8" xfId="3" applyBorder="1" applyAlignment="1">
      <alignment horizontal="left"/>
    </xf>
    <xf numFmtId="167" fontId="1" fillId="0" borderId="9" xfId="3" applyNumberFormat="1" applyBorder="1" applyAlignment="1">
      <alignment horizontal="center"/>
    </xf>
    <xf numFmtId="1" fontId="30" fillId="2" borderId="8" xfId="3" applyNumberFormat="1" applyFont="1" applyFill="1" applyBorder="1" applyProtection="1">
      <protection locked="0"/>
    </xf>
    <xf numFmtId="4" fontId="1" fillId="0" borderId="10" xfId="3" applyNumberFormat="1" applyBorder="1"/>
    <xf numFmtId="0" fontId="1" fillId="0" borderId="15" xfId="3" applyBorder="1" applyAlignment="1">
      <alignment horizontal="left"/>
    </xf>
    <xf numFmtId="167" fontId="1" fillId="0" borderId="0" xfId="3" applyNumberFormat="1" applyAlignment="1">
      <alignment horizontal="center"/>
    </xf>
    <xf numFmtId="1" fontId="30" fillId="2" borderId="15" xfId="3" applyNumberFormat="1" applyFont="1" applyFill="1" applyBorder="1" applyProtection="1">
      <protection locked="0"/>
    </xf>
    <xf numFmtId="4" fontId="1" fillId="0" borderId="16" xfId="3" applyNumberFormat="1" applyBorder="1"/>
    <xf numFmtId="3" fontId="30" fillId="2" borderId="15" xfId="3" applyNumberFormat="1" applyFont="1" applyFill="1" applyBorder="1" applyProtection="1">
      <protection locked="0"/>
    </xf>
    <xf numFmtId="3" fontId="31" fillId="0" borderId="0" xfId="3" applyNumberFormat="1" applyFont="1"/>
    <xf numFmtId="4" fontId="24" fillId="0" borderId="0" xfId="3" applyNumberFormat="1" applyFont="1"/>
    <xf numFmtId="164" fontId="31" fillId="0" borderId="0" xfId="3" applyNumberFormat="1" applyFont="1"/>
    <xf numFmtId="3" fontId="31" fillId="0" borderId="0" xfId="3" applyNumberFormat="1" applyFont="1" applyAlignment="1">
      <alignment horizontal="right"/>
    </xf>
    <xf numFmtId="1" fontId="38" fillId="0" borderId="0" xfId="3" applyNumberFormat="1" applyFont="1"/>
    <xf numFmtId="0" fontId="1" fillId="0" borderId="22" xfId="3" applyBorder="1" applyAlignment="1">
      <alignment horizontal="left"/>
    </xf>
    <xf numFmtId="167" fontId="1" fillId="0" borderId="23" xfId="3" applyNumberFormat="1" applyBorder="1" applyAlignment="1">
      <alignment horizontal="center"/>
    </xf>
    <xf numFmtId="4" fontId="31" fillId="0" borderId="23" xfId="3" applyNumberFormat="1" applyFont="1" applyBorder="1"/>
    <xf numFmtId="4" fontId="1" fillId="0" borderId="24" xfId="3" applyNumberFormat="1" applyBorder="1"/>
    <xf numFmtId="0" fontId="39" fillId="0" borderId="0" xfId="3" applyFont="1"/>
    <xf numFmtId="164" fontId="37" fillId="0" borderId="54" xfId="3" applyNumberFormat="1" applyFont="1" applyBorder="1" applyAlignment="1">
      <alignment horizontal="center"/>
    </xf>
    <xf numFmtId="164" fontId="40" fillId="6" borderId="0" xfId="3" applyNumberFormat="1" applyFont="1" applyFill="1" applyAlignment="1">
      <alignment horizontal="center"/>
    </xf>
    <xf numFmtId="164" fontId="40" fillId="6" borderId="53" xfId="3" applyNumberFormat="1" applyFont="1" applyFill="1" applyBorder="1" applyAlignment="1">
      <alignment horizontal="center"/>
    </xf>
    <xf numFmtId="2" fontId="40" fillId="6" borderId="51" xfId="3" applyNumberFormat="1" applyFont="1" applyFill="1" applyBorder="1" applyAlignment="1">
      <alignment horizontal="center"/>
    </xf>
    <xf numFmtId="3" fontId="40" fillId="6" borderId="52" xfId="3" applyNumberFormat="1" applyFont="1" applyFill="1" applyBorder="1" applyAlignment="1">
      <alignment horizontal="center"/>
    </xf>
    <xf numFmtId="0" fontId="24" fillId="0" borderId="39" xfId="3" applyFont="1" applyBorder="1" applyAlignment="1">
      <alignment horizontal="center" vertical="center"/>
    </xf>
    <xf numFmtId="164" fontId="41" fillId="7" borderId="25" xfId="3" applyNumberFormat="1" applyFont="1" applyFill="1" applyBorder="1" applyAlignment="1">
      <alignment horizontal="center"/>
    </xf>
    <xf numFmtId="4" fontId="31" fillId="0" borderId="25" xfId="3" applyNumberFormat="1" applyFont="1" applyBorder="1" applyAlignment="1">
      <alignment horizontal="center"/>
    </xf>
    <xf numFmtId="164" fontId="31" fillId="0" borderId="0" xfId="3" applyNumberFormat="1" applyFont="1" applyAlignment="1">
      <alignment horizontal="right"/>
    </xf>
    <xf numFmtId="0" fontId="42" fillId="0" borderId="0" xfId="4"/>
    <xf numFmtId="0" fontId="42" fillId="0" borderId="0" xfId="4" applyProtection="1">
      <protection hidden="1"/>
    </xf>
    <xf numFmtId="0" fontId="21" fillId="0" borderId="0" xfId="4" applyFont="1"/>
    <xf numFmtId="0" fontId="21" fillId="0" borderId="0" xfId="4" applyFont="1" applyProtection="1">
      <protection hidden="1"/>
    </xf>
    <xf numFmtId="0" fontId="8" fillId="0" borderId="0" xfId="4" applyFont="1" applyProtection="1">
      <protection hidden="1"/>
    </xf>
    <xf numFmtId="0" fontId="1" fillId="0" borderId="0" xfId="4" applyFont="1"/>
    <xf numFmtId="0" fontId="8" fillId="0" borderId="0" xfId="4" applyFont="1" applyAlignment="1" applyProtection="1">
      <alignment horizontal="left"/>
      <protection hidden="1"/>
    </xf>
    <xf numFmtId="0" fontId="1" fillId="0" borderId="0" xfId="4" applyFont="1" applyProtection="1">
      <protection hidden="1"/>
    </xf>
    <xf numFmtId="0" fontId="9" fillId="0" borderId="8" xfId="4" applyFont="1" applyBorder="1" applyProtection="1">
      <protection hidden="1"/>
    </xf>
    <xf numFmtId="0" fontId="10" fillId="2" borderId="9" xfId="4" applyFont="1" applyFill="1" applyBorder="1" applyProtection="1">
      <protection locked="0"/>
    </xf>
    <xf numFmtId="0" fontId="9" fillId="0" borderId="9" xfId="4" applyFont="1" applyBorder="1" applyProtection="1">
      <protection hidden="1"/>
    </xf>
    <xf numFmtId="0" fontId="21" fillId="0" borderId="10" xfId="4" applyFont="1" applyBorder="1" applyProtection="1">
      <protection hidden="1"/>
    </xf>
    <xf numFmtId="1" fontId="9" fillId="0" borderId="15" xfId="4" applyNumberFormat="1" applyFont="1" applyBorder="1" applyProtection="1">
      <protection hidden="1"/>
    </xf>
    <xf numFmtId="0" fontId="10" fillId="2" borderId="0" xfId="4" applyFont="1" applyFill="1" applyProtection="1">
      <protection locked="0"/>
    </xf>
    <xf numFmtId="0" fontId="9" fillId="0" borderId="0" xfId="4" applyFont="1" applyProtection="1">
      <protection hidden="1"/>
    </xf>
    <xf numFmtId="0" fontId="21" fillId="0" borderId="16" xfId="4" applyFont="1" applyBorder="1" applyProtection="1">
      <protection hidden="1"/>
    </xf>
    <xf numFmtId="0" fontId="9" fillId="0" borderId="15" xfId="4" applyFont="1" applyBorder="1" applyProtection="1">
      <protection hidden="1"/>
    </xf>
    <xf numFmtId="0" fontId="9" fillId="0" borderId="22" xfId="4" applyFont="1" applyBorder="1" applyProtection="1">
      <protection hidden="1"/>
    </xf>
    <xf numFmtId="1" fontId="49" fillId="0" borderId="23" xfId="4" applyNumberFormat="1" applyFont="1" applyBorder="1" applyProtection="1">
      <protection hidden="1"/>
    </xf>
    <xf numFmtId="0" fontId="9" fillId="0" borderId="23" xfId="4" applyFont="1" applyBorder="1" applyProtection="1">
      <protection hidden="1"/>
    </xf>
    <xf numFmtId="0" fontId="21" fillId="0" borderId="24" xfId="4" applyFont="1" applyBorder="1" applyProtection="1">
      <protection hidden="1"/>
    </xf>
    <xf numFmtId="3" fontId="10" fillId="2" borderId="9" xfId="4" applyNumberFormat="1" applyFont="1" applyFill="1" applyBorder="1" applyProtection="1">
      <protection locked="0"/>
    </xf>
    <xf numFmtId="3" fontId="10" fillId="2" borderId="0" xfId="4" applyNumberFormat="1" applyFont="1" applyFill="1" applyProtection="1">
      <protection locked="0"/>
    </xf>
    <xf numFmtId="0" fontId="50" fillId="0" borderId="0" xfId="4" applyFont="1" applyProtection="1">
      <protection hidden="1"/>
    </xf>
    <xf numFmtId="3" fontId="49" fillId="0" borderId="0" xfId="4" applyNumberFormat="1" applyFont="1" applyProtection="1">
      <protection hidden="1"/>
    </xf>
    <xf numFmtId="3" fontId="49" fillId="0" borderId="23" xfId="4" applyNumberFormat="1" applyFont="1" applyBorder="1" applyProtection="1">
      <protection hidden="1"/>
    </xf>
    <xf numFmtId="4" fontId="10" fillId="2" borderId="9" xfId="4" applyNumberFormat="1" applyFont="1" applyFill="1" applyBorder="1" applyProtection="1">
      <protection locked="0"/>
    </xf>
    <xf numFmtId="4" fontId="10" fillId="2" borderId="0" xfId="4" applyNumberFormat="1" applyFont="1" applyFill="1" applyProtection="1">
      <protection locked="0"/>
    </xf>
    <xf numFmtId="0" fontId="52" fillId="0" borderId="36" xfId="4" applyFont="1" applyBorder="1"/>
    <xf numFmtId="0" fontId="8" fillId="0" borderId="0" xfId="4" applyFont="1"/>
    <xf numFmtId="0" fontId="8" fillId="0" borderId="0" xfId="4" applyFont="1" applyAlignment="1">
      <alignment horizontal="right"/>
    </xf>
    <xf numFmtId="0" fontId="17" fillId="0" borderId="0" xfId="4" applyFont="1"/>
    <xf numFmtId="0" fontId="17" fillId="0" borderId="0" xfId="4" applyFont="1" applyAlignment="1">
      <alignment horizontal="right"/>
    </xf>
    <xf numFmtId="0" fontId="50" fillId="0" borderId="0" xfId="4" applyFont="1" applyAlignment="1" applyProtection="1">
      <alignment horizontal="right"/>
      <protection hidden="1"/>
    </xf>
    <xf numFmtId="0" fontId="17" fillId="0" borderId="0" xfId="4" applyFont="1" applyProtection="1">
      <protection hidden="1"/>
    </xf>
    <xf numFmtId="6" fontId="8" fillId="0" borderId="9" xfId="4" applyNumberFormat="1" applyFont="1" applyBorder="1" applyAlignment="1">
      <alignment horizontal="center"/>
    </xf>
    <xf numFmtId="6" fontId="9" fillId="0" borderId="9" xfId="4" applyNumberFormat="1" applyFont="1" applyBorder="1"/>
    <xf numFmtId="0" fontId="9" fillId="0" borderId="0" xfId="4" applyFont="1"/>
    <xf numFmtId="1" fontId="9" fillId="0" borderId="0" xfId="4" applyNumberFormat="1" applyFont="1"/>
    <xf numFmtId="0" fontId="8" fillId="0" borderId="25" xfId="4" applyFont="1" applyBorder="1" applyAlignment="1" applyProtection="1">
      <alignment horizontal="center"/>
      <protection hidden="1"/>
    </xf>
    <xf numFmtId="0" fontId="9" fillId="0" borderId="14" xfId="4" applyFont="1" applyBorder="1" applyAlignment="1" applyProtection="1">
      <alignment horizontal="right"/>
      <protection hidden="1"/>
    </xf>
    <xf numFmtId="0" fontId="9" fillId="0" borderId="16" xfId="4" applyFont="1" applyBorder="1" applyAlignment="1" applyProtection="1">
      <alignment horizontal="right"/>
      <protection hidden="1"/>
    </xf>
    <xf numFmtId="6" fontId="9" fillId="0" borderId="0" xfId="4" applyNumberFormat="1" applyFont="1"/>
    <xf numFmtId="3" fontId="10" fillId="2" borderId="0" xfId="4" applyNumberFormat="1" applyFont="1" applyFill="1" applyAlignment="1" applyProtection="1">
      <alignment horizontal="right"/>
      <protection locked="0"/>
    </xf>
    <xf numFmtId="0" fontId="9" fillId="0" borderId="21" xfId="4" applyFont="1" applyBorder="1" applyAlignment="1" applyProtection="1">
      <alignment horizontal="right"/>
      <protection hidden="1"/>
    </xf>
    <xf numFmtId="0" fontId="9" fillId="0" borderId="24" xfId="4" applyFont="1" applyBorder="1" applyAlignment="1" applyProtection="1">
      <alignment horizontal="right"/>
      <protection hidden="1"/>
    </xf>
    <xf numFmtId="164" fontId="10" fillId="2" borderId="0" xfId="4" applyNumberFormat="1" applyFont="1" applyFill="1" applyProtection="1">
      <protection locked="0"/>
    </xf>
    <xf numFmtId="0" fontId="53" fillId="0" borderId="0" xfId="4" applyFont="1" applyAlignment="1" applyProtection="1">
      <alignment wrapText="1"/>
      <protection hidden="1"/>
    </xf>
    <xf numFmtId="4" fontId="10" fillId="2" borderId="0" xfId="4" applyNumberFormat="1" applyFont="1" applyFill="1" applyAlignment="1" applyProtection="1">
      <alignment horizontal="right"/>
      <protection locked="0"/>
    </xf>
    <xf numFmtId="168" fontId="9" fillId="0" borderId="0" xfId="4" applyNumberFormat="1" applyFont="1"/>
    <xf numFmtId="2" fontId="8" fillId="0" borderId="0" xfId="4" applyNumberFormat="1" applyFont="1"/>
    <xf numFmtId="165" fontId="10" fillId="2" borderId="23" xfId="4" applyNumberFormat="1" applyFont="1" applyFill="1" applyBorder="1" applyProtection="1">
      <protection locked="0"/>
    </xf>
    <xf numFmtId="6" fontId="9" fillId="0" borderId="23" xfId="4" applyNumberFormat="1" applyFont="1" applyBorder="1"/>
    <xf numFmtId="0" fontId="18" fillId="0" borderId="0" xfId="4" applyFont="1" applyProtection="1">
      <protection hidden="1"/>
    </xf>
    <xf numFmtId="39" fontId="18" fillId="0" borderId="0" xfId="4" applyNumberFormat="1" applyFont="1" applyAlignment="1" applyProtection="1">
      <alignment vertical="center"/>
      <protection hidden="1"/>
    </xf>
    <xf numFmtId="6" fontId="18" fillId="0" borderId="0" xfId="4" applyNumberFormat="1" applyFont="1" applyProtection="1">
      <protection hidden="1"/>
    </xf>
    <xf numFmtId="4" fontId="18" fillId="0" borderId="0" xfId="4" applyNumberFormat="1" applyFont="1" applyProtection="1">
      <protection hidden="1"/>
    </xf>
    <xf numFmtId="6" fontId="8" fillId="0" borderId="9" xfId="4" applyNumberFormat="1" applyFont="1" applyBorder="1" applyAlignment="1" applyProtection="1">
      <alignment horizontal="center"/>
      <protection hidden="1"/>
    </xf>
    <xf numFmtId="6" fontId="9" fillId="0" borderId="9" xfId="4" applyNumberFormat="1" applyFont="1" applyBorder="1" applyProtection="1">
      <protection hidden="1"/>
    </xf>
    <xf numFmtId="8" fontId="9" fillId="0" borderId="9" xfId="4" applyNumberFormat="1" applyFont="1" applyBorder="1" applyProtection="1">
      <protection hidden="1"/>
    </xf>
    <xf numFmtId="0" fontId="9" fillId="0" borderId="10" xfId="4" applyFont="1" applyBorder="1" applyProtection="1">
      <protection hidden="1"/>
    </xf>
    <xf numFmtId="6" fontId="9" fillId="0" borderId="0" xfId="4" applyNumberFormat="1" applyFont="1" applyProtection="1">
      <protection hidden="1"/>
    </xf>
    <xf numFmtId="164" fontId="49" fillId="0" borderId="0" xfId="4" applyNumberFormat="1" applyFont="1" applyProtection="1">
      <protection hidden="1"/>
    </xf>
    <xf numFmtId="0" fontId="9" fillId="0" borderId="16" xfId="4" applyFont="1" applyBorder="1" applyProtection="1">
      <protection hidden="1"/>
    </xf>
    <xf numFmtId="4" fontId="49" fillId="0" borderId="0" xfId="4" applyNumberFormat="1" applyFont="1" applyProtection="1">
      <protection hidden="1"/>
    </xf>
    <xf numFmtId="1" fontId="9" fillId="0" borderId="16" xfId="4" applyNumberFormat="1" applyFont="1" applyBorder="1" applyProtection="1">
      <protection hidden="1"/>
    </xf>
    <xf numFmtId="164" fontId="49" fillId="0" borderId="0" xfId="4" applyNumberFormat="1" applyFont="1" applyAlignment="1" applyProtection="1">
      <alignment horizontal="right"/>
      <protection hidden="1"/>
    </xf>
    <xf numFmtId="3" fontId="49" fillId="0" borderId="0" xfId="4" applyNumberFormat="1" applyFont="1" applyAlignment="1" applyProtection="1">
      <alignment horizontal="right"/>
      <protection hidden="1"/>
    </xf>
    <xf numFmtId="4" fontId="49" fillId="0" borderId="16" xfId="4" applyNumberFormat="1" applyFont="1" applyBorder="1" applyAlignment="1" applyProtection="1">
      <alignment horizontal="right"/>
      <protection hidden="1"/>
    </xf>
    <xf numFmtId="4" fontId="49" fillId="0" borderId="0" xfId="4" applyNumberFormat="1" applyFont="1" applyAlignment="1" applyProtection="1">
      <alignment horizontal="right"/>
      <protection hidden="1"/>
    </xf>
    <xf numFmtId="4" fontId="9" fillId="0" borderId="16" xfId="4" applyNumberFormat="1" applyFont="1" applyBorder="1" applyAlignment="1" applyProtection="1">
      <alignment horizontal="left"/>
      <protection hidden="1"/>
    </xf>
    <xf numFmtId="169" fontId="49" fillId="0" borderId="23" xfId="4" applyNumberFormat="1" applyFont="1" applyBorder="1" applyProtection="1">
      <protection hidden="1"/>
    </xf>
    <xf numFmtId="6" fontId="9" fillId="0" borderId="23" xfId="4" applyNumberFormat="1" applyFont="1" applyBorder="1" applyAlignment="1" applyProtection="1">
      <alignment vertical="center"/>
      <protection hidden="1"/>
    </xf>
    <xf numFmtId="0" fontId="33" fillId="0" borderId="0" xfId="4" applyFont="1" applyProtection="1">
      <protection hidden="1"/>
    </xf>
    <xf numFmtId="0" fontId="9" fillId="0" borderId="7" xfId="4" applyFont="1" applyBorder="1" applyAlignment="1" applyProtection="1">
      <alignment horizontal="center"/>
      <protection hidden="1"/>
    </xf>
    <xf numFmtId="0" fontId="9" fillId="0" borderId="7" xfId="4" applyFont="1" applyBorder="1" applyProtection="1">
      <protection hidden="1"/>
    </xf>
    <xf numFmtId="4" fontId="9" fillId="0" borderId="7" xfId="4" applyNumberFormat="1" applyFont="1" applyBorder="1" applyAlignment="1" applyProtection="1">
      <alignment horizontal="center"/>
      <protection hidden="1"/>
    </xf>
    <xf numFmtId="0" fontId="9" fillId="0" borderId="14" xfId="4" applyFont="1" applyBorder="1" applyProtection="1">
      <protection hidden="1"/>
    </xf>
    <xf numFmtId="4" fontId="9" fillId="0" borderId="14" xfId="4" applyNumberFormat="1" applyFont="1" applyBorder="1" applyAlignment="1" applyProtection="1">
      <alignment horizontal="center"/>
      <protection hidden="1"/>
    </xf>
    <xf numFmtId="0" fontId="9" fillId="0" borderId="21" xfId="4" applyFont="1" applyBorder="1" applyProtection="1">
      <protection hidden="1"/>
    </xf>
    <xf numFmtId="4" fontId="9" fillId="0" borderId="21" xfId="4" applyNumberFormat="1" applyFont="1" applyBorder="1" applyAlignment="1" applyProtection="1">
      <alignment horizontal="center"/>
      <protection hidden="1"/>
    </xf>
    <xf numFmtId="0" fontId="6" fillId="0" borderId="0" xfId="4" applyFont="1"/>
    <xf numFmtId="0" fontId="57" fillId="0" borderId="0" xfId="4" applyFont="1"/>
    <xf numFmtId="0" fontId="5" fillId="0" borderId="0" xfId="4" applyFont="1"/>
    <xf numFmtId="0" fontId="58" fillId="0" borderId="0" xfId="5"/>
    <xf numFmtId="0" fontId="8" fillId="0" borderId="0" xfId="5" applyFont="1" applyAlignment="1" applyProtection="1">
      <alignment vertical="center"/>
      <protection hidden="1"/>
    </xf>
    <xf numFmtId="0" fontId="60" fillId="0" borderId="0" xfId="5" applyFont="1"/>
    <xf numFmtId="0" fontId="61" fillId="0" borderId="0" xfId="5" applyFont="1"/>
    <xf numFmtId="0" fontId="9" fillId="0" borderId="7" xfId="1" applyFont="1" applyBorder="1" applyAlignment="1" applyProtection="1">
      <alignment horizontal="center"/>
      <protection hidden="1"/>
    </xf>
    <xf numFmtId="0" fontId="8" fillId="0" borderId="8" xfId="5" applyFont="1" applyBorder="1" applyAlignment="1" applyProtection="1">
      <alignment horizontal="left" vertical="center"/>
      <protection hidden="1"/>
    </xf>
    <xf numFmtId="0" fontId="8" fillId="0" borderId="9" xfId="5" applyFont="1" applyBorder="1" applyAlignment="1" applyProtection="1">
      <alignment horizontal="left" vertical="center"/>
      <protection hidden="1"/>
    </xf>
    <xf numFmtId="0" fontId="8" fillId="0" borderId="9" xfId="5" applyFont="1" applyBorder="1" applyAlignment="1" applyProtection="1">
      <alignment horizontal="center"/>
      <protection hidden="1"/>
    </xf>
    <xf numFmtId="0" fontId="8" fillId="0" borderId="10" xfId="5" applyFont="1" applyBorder="1" applyAlignment="1" applyProtection="1">
      <alignment horizontal="left" vertical="center"/>
      <protection hidden="1"/>
    </xf>
    <xf numFmtId="0" fontId="9" fillId="0" borderId="7" xfId="1" applyFont="1" applyBorder="1" applyProtection="1">
      <protection hidden="1"/>
    </xf>
    <xf numFmtId="4" fontId="9" fillId="0" borderId="7" xfId="1" applyNumberFormat="1" applyFont="1" applyBorder="1" applyAlignment="1" applyProtection="1">
      <alignment horizontal="center"/>
      <protection hidden="1"/>
    </xf>
    <xf numFmtId="0" fontId="62" fillId="0" borderId="15" xfId="5" applyFont="1" applyBorder="1" applyAlignment="1">
      <alignment horizontal="center"/>
    </xf>
    <xf numFmtId="3" fontId="10" fillId="2" borderId="0" xfId="5" applyNumberFormat="1" applyFont="1" applyFill="1" applyProtection="1">
      <protection locked="0"/>
    </xf>
    <xf numFmtId="3" fontId="49" fillId="0" borderId="0" xfId="5" applyNumberFormat="1" applyFont="1" applyProtection="1">
      <protection hidden="1"/>
    </xf>
    <xf numFmtId="0" fontId="61" fillId="0" borderId="0" xfId="5" applyFont="1" applyProtection="1">
      <protection hidden="1"/>
    </xf>
    <xf numFmtId="0" fontId="61" fillId="0" borderId="16" xfId="5" applyFont="1" applyBorder="1" applyProtection="1">
      <protection hidden="1"/>
    </xf>
    <xf numFmtId="0" fontId="9" fillId="0" borderId="14" xfId="1" applyFont="1" applyBorder="1" applyProtection="1">
      <protection hidden="1"/>
    </xf>
    <xf numFmtId="4" fontId="9" fillId="0" borderId="14" xfId="1" applyNumberFormat="1" applyFont="1" applyBorder="1" applyAlignment="1" applyProtection="1">
      <alignment horizontal="center"/>
      <protection hidden="1"/>
    </xf>
    <xf numFmtId="164" fontId="10" fillId="2" borderId="0" xfId="5" applyNumberFormat="1" applyFont="1" applyFill="1" applyProtection="1">
      <protection locked="0"/>
    </xf>
    <xf numFmtId="4" fontId="49" fillId="0" borderId="0" xfId="5" applyNumberFormat="1" applyFont="1" applyProtection="1">
      <protection hidden="1"/>
    </xf>
    <xf numFmtId="0" fontId="9" fillId="0" borderId="21" xfId="1" applyFont="1" applyBorder="1" applyProtection="1">
      <protection hidden="1"/>
    </xf>
    <xf numFmtId="4" fontId="9" fillId="0" borderId="21" xfId="1" applyNumberFormat="1" applyFont="1" applyBorder="1" applyAlignment="1" applyProtection="1">
      <alignment horizontal="center"/>
      <protection hidden="1"/>
    </xf>
    <xf numFmtId="4" fontId="9" fillId="0" borderId="8" xfId="1" applyNumberFormat="1" applyFont="1" applyBorder="1" applyAlignment="1" applyProtection="1">
      <alignment horizontal="center"/>
      <protection hidden="1"/>
    </xf>
    <xf numFmtId="4" fontId="10" fillId="2" borderId="0" xfId="5" applyNumberFormat="1" applyFont="1" applyFill="1" applyAlignment="1" applyProtection="1">
      <alignment horizontal="right"/>
      <protection locked="0"/>
    </xf>
    <xf numFmtId="4" fontId="9" fillId="0" borderId="15" xfId="1" applyNumberFormat="1" applyFont="1" applyBorder="1" applyAlignment="1" applyProtection="1">
      <alignment horizontal="center"/>
      <protection hidden="1"/>
    </xf>
    <xf numFmtId="4" fontId="10" fillId="2" borderId="0" xfId="5" applyNumberFormat="1" applyFont="1" applyFill="1" applyProtection="1">
      <protection locked="0"/>
    </xf>
    <xf numFmtId="0" fontId="62" fillId="0" borderId="22" xfId="5" applyFont="1" applyBorder="1" applyAlignment="1">
      <alignment horizontal="center"/>
    </xf>
    <xf numFmtId="0" fontId="61" fillId="0" borderId="23" xfId="5" applyFont="1" applyBorder="1"/>
    <xf numFmtId="164" fontId="10" fillId="2" borderId="23" xfId="5" applyNumberFormat="1" applyFont="1" applyFill="1" applyBorder="1" applyProtection="1">
      <protection locked="0"/>
    </xf>
    <xf numFmtId="0" fontId="61" fillId="0" borderId="23" xfId="5" applyFont="1" applyBorder="1" applyProtection="1">
      <protection hidden="1"/>
    </xf>
    <xf numFmtId="0" fontId="61" fillId="0" borderId="24" xfId="5" applyFont="1" applyBorder="1" applyProtection="1">
      <protection hidden="1"/>
    </xf>
    <xf numFmtId="0" fontId="62" fillId="0" borderId="0" xfId="5" applyFont="1" applyAlignment="1">
      <alignment horizontal="center"/>
    </xf>
    <xf numFmtId="4" fontId="61" fillId="0" borderId="0" xfId="5" applyNumberFormat="1" applyFont="1"/>
    <xf numFmtId="0" fontId="62" fillId="0" borderId="8" xfId="5" applyFont="1" applyBorder="1" applyAlignment="1">
      <alignment horizontal="center"/>
    </xf>
    <xf numFmtId="0" fontId="61" fillId="0" borderId="9" xfId="5" applyFont="1" applyBorder="1"/>
    <xf numFmtId="168" fontId="8" fillId="0" borderId="9" xfId="5" applyNumberFormat="1" applyFont="1" applyBorder="1" applyAlignment="1" applyProtection="1">
      <alignment horizontal="center"/>
      <protection hidden="1"/>
    </xf>
    <xf numFmtId="0" fontId="61" fillId="0" borderId="9" xfId="5" applyFont="1" applyBorder="1" applyProtection="1">
      <protection hidden="1"/>
    </xf>
    <xf numFmtId="0" fontId="61" fillId="0" borderId="10" xfId="5" applyFont="1" applyBorder="1" applyProtection="1">
      <protection hidden="1"/>
    </xf>
    <xf numFmtId="4" fontId="9" fillId="0" borderId="22" xfId="1" applyNumberFormat="1" applyFont="1" applyBorder="1" applyAlignment="1" applyProtection="1">
      <alignment horizontal="center"/>
      <protection hidden="1"/>
    </xf>
    <xf numFmtId="164" fontId="49" fillId="0" borderId="0" xfId="5" applyNumberFormat="1" applyFont="1"/>
    <xf numFmtId="3" fontId="49" fillId="0" borderId="0" xfId="5" applyNumberFormat="1" applyFont="1"/>
    <xf numFmtId="164" fontId="10" fillId="0" borderId="0" xfId="5" applyNumberFormat="1" applyFont="1" applyProtection="1">
      <protection hidden="1"/>
    </xf>
    <xf numFmtId="4" fontId="61" fillId="0" borderId="0" xfId="5" applyNumberFormat="1" applyFont="1" applyProtection="1">
      <protection hidden="1"/>
    </xf>
    <xf numFmtId="164" fontId="49" fillId="0" borderId="23" xfId="5" applyNumberFormat="1" applyFont="1" applyBorder="1"/>
    <xf numFmtId="0" fontId="44" fillId="0" borderId="15" xfId="5" applyFont="1" applyBorder="1" applyProtection="1">
      <protection hidden="1"/>
    </xf>
    <xf numFmtId="0" fontId="44" fillId="0" borderId="0" xfId="5" applyFont="1" applyProtection="1">
      <protection hidden="1"/>
    </xf>
    <xf numFmtId="0" fontId="44" fillId="0" borderId="16" xfId="5" applyFont="1" applyBorder="1" applyProtection="1">
      <protection hidden="1"/>
    </xf>
    <xf numFmtId="0" fontId="58" fillId="0" borderId="15" xfId="5" applyBorder="1"/>
    <xf numFmtId="0" fontId="58" fillId="0" borderId="16" xfId="5" applyBorder="1"/>
    <xf numFmtId="0" fontId="58" fillId="0" borderId="22" xfId="5" applyBorder="1"/>
    <xf numFmtId="0" fontId="58" fillId="0" borderId="24" xfId="5" applyBorder="1"/>
    <xf numFmtId="0" fontId="5" fillId="0" borderId="0" xfId="5" applyFont="1" applyAlignment="1" applyProtection="1">
      <alignment vertical="top" wrapText="1"/>
      <protection hidden="1"/>
    </xf>
    <xf numFmtId="0" fontId="2" fillId="0" borderId="0" xfId="1" applyFont="1"/>
    <xf numFmtId="0" fontId="8" fillId="0" borderId="0" xfId="1" applyFont="1" applyAlignment="1">
      <alignment vertical="center"/>
    </xf>
    <xf numFmtId="0" fontId="8" fillId="0" borderId="9" xfId="1" applyFont="1" applyBorder="1" applyAlignment="1" applyProtection="1">
      <alignment horizontal="center"/>
      <protection hidden="1"/>
    </xf>
    <xf numFmtId="0" fontId="8" fillId="0" borderId="15" xfId="1" applyFont="1" applyBorder="1" applyAlignment="1" applyProtection="1">
      <alignment horizontal="center"/>
      <protection hidden="1"/>
    </xf>
    <xf numFmtId="0" fontId="9" fillId="0" borderId="0" xfId="1" applyFont="1" applyAlignment="1" applyProtection="1">
      <alignment horizontal="left"/>
      <protection hidden="1"/>
    </xf>
    <xf numFmtId="3" fontId="10" fillId="2" borderId="0" xfId="1" applyNumberFormat="1" applyFont="1" applyFill="1" applyProtection="1">
      <protection locked="0"/>
    </xf>
    <xf numFmtId="4" fontId="49" fillId="0" borderId="0" xfId="1" applyNumberFormat="1" applyFont="1" applyProtection="1">
      <protection hidden="1"/>
    </xf>
    <xf numFmtId="164" fontId="10" fillId="2" borderId="0" xfId="1" applyNumberFormat="1" applyFont="1" applyFill="1" applyProtection="1">
      <protection locked="0"/>
    </xf>
    <xf numFmtId="0" fontId="9" fillId="0" borderId="0" xfId="1" applyFont="1" applyAlignment="1" applyProtection="1">
      <alignment vertical="top"/>
      <protection hidden="1"/>
    </xf>
    <xf numFmtId="0" fontId="8" fillId="0" borderId="22" xfId="1" applyFont="1" applyBorder="1" applyAlignment="1" applyProtection="1">
      <alignment horizontal="center"/>
      <protection hidden="1"/>
    </xf>
    <xf numFmtId="0" fontId="9" fillId="0" borderId="23" xfId="1" applyFont="1" applyBorder="1" applyAlignment="1" applyProtection="1">
      <alignment horizontal="left"/>
      <protection hidden="1"/>
    </xf>
    <xf numFmtId="4" fontId="49" fillId="0" borderId="23" xfId="1" applyNumberFormat="1" applyFont="1" applyBorder="1" applyProtection="1">
      <protection hidden="1"/>
    </xf>
    <xf numFmtId="0" fontId="9" fillId="0" borderId="23" xfId="1" applyFont="1" applyBorder="1" applyAlignment="1" applyProtection="1">
      <alignment vertical="center"/>
      <protection hidden="1"/>
    </xf>
    <xf numFmtId="0" fontId="9" fillId="0" borderId="24" xfId="1" applyFont="1" applyBorder="1" applyProtection="1">
      <protection hidden="1"/>
    </xf>
    <xf numFmtId="168" fontId="18" fillId="0" borderId="0" xfId="1" applyNumberFormat="1" applyFont="1" applyAlignment="1" applyProtection="1">
      <alignment horizontal="center"/>
      <protection hidden="1"/>
    </xf>
    <xf numFmtId="168" fontId="18" fillId="0" borderId="0" xfId="1" applyNumberFormat="1" applyFont="1" applyAlignment="1" applyProtection="1">
      <alignment horizontal="left"/>
      <protection hidden="1"/>
    </xf>
    <xf numFmtId="168" fontId="18" fillId="0" borderId="0" xfId="1" applyNumberFormat="1" applyFont="1" applyProtection="1">
      <protection hidden="1"/>
    </xf>
    <xf numFmtId="168" fontId="66" fillId="0" borderId="8" xfId="1" applyNumberFormat="1" applyFont="1" applyBorder="1" applyAlignment="1" applyProtection="1">
      <alignment horizontal="center"/>
      <protection hidden="1"/>
    </xf>
    <xf numFmtId="168" fontId="66" fillId="0" borderId="9" xfId="1" applyNumberFormat="1" applyFont="1" applyBorder="1" applyAlignment="1" applyProtection="1">
      <alignment horizontal="left"/>
      <protection hidden="1"/>
    </xf>
    <xf numFmtId="168" fontId="8" fillId="0" borderId="9" xfId="1" applyNumberFormat="1" applyFont="1" applyBorder="1" applyAlignment="1" applyProtection="1">
      <alignment horizontal="center"/>
      <protection hidden="1"/>
    </xf>
    <xf numFmtId="168" fontId="66" fillId="0" borderId="9" xfId="1" applyNumberFormat="1" applyFont="1" applyBorder="1" applyProtection="1">
      <protection hidden="1"/>
    </xf>
    <xf numFmtId="168" fontId="67" fillId="0" borderId="9" xfId="1" applyNumberFormat="1" applyFont="1" applyBorder="1" applyProtection="1">
      <protection hidden="1"/>
    </xf>
    <xf numFmtId="168" fontId="67" fillId="0" borderId="10" xfId="1" applyNumberFormat="1" applyFont="1" applyBorder="1" applyProtection="1">
      <protection hidden="1"/>
    </xf>
    <xf numFmtId="0" fontId="67" fillId="0" borderId="0" xfId="1" applyFont="1" applyProtection="1">
      <protection hidden="1"/>
    </xf>
    <xf numFmtId="0" fontId="67" fillId="0" borderId="16" xfId="1" applyFont="1" applyBorder="1" applyProtection="1">
      <protection hidden="1"/>
    </xf>
    <xf numFmtId="164" fontId="49" fillId="0" borderId="0" xfId="1" applyNumberFormat="1" applyFont="1" applyProtection="1">
      <protection hidden="1"/>
    </xf>
    <xf numFmtId="0" fontId="8" fillId="0" borderId="22" xfId="1" applyFont="1" applyBorder="1" applyAlignment="1" applyProtection="1">
      <alignment horizontal="center" vertical="center"/>
      <protection hidden="1"/>
    </xf>
    <xf numFmtId="3" fontId="49" fillId="0" borderId="23" xfId="1" applyNumberFormat="1" applyFont="1" applyBorder="1" applyProtection="1">
      <protection hidden="1"/>
    </xf>
    <xf numFmtId="0" fontId="67" fillId="0" borderId="23" xfId="1" applyFont="1" applyBorder="1" applyProtection="1">
      <protection hidden="1"/>
    </xf>
    <xf numFmtId="0" fontId="67" fillId="0" borderId="24" xfId="1" applyFont="1" applyBorder="1" applyProtection="1">
      <protection hidden="1"/>
    </xf>
    <xf numFmtId="0" fontId="1" fillId="0" borderId="15" xfId="1" applyBorder="1" applyProtection="1">
      <protection hidden="1"/>
    </xf>
    <xf numFmtId="0" fontId="1" fillId="0" borderId="0" xfId="1" applyProtection="1">
      <protection hidden="1"/>
    </xf>
    <xf numFmtId="0" fontId="1" fillId="0" borderId="16" xfId="1" applyBorder="1" applyProtection="1">
      <protection hidden="1"/>
    </xf>
    <xf numFmtId="0" fontId="5" fillId="0" borderId="16" xfId="1" applyFont="1" applyBorder="1" applyAlignment="1" applyProtection="1">
      <alignment vertical="top" wrapText="1"/>
      <protection hidden="1"/>
    </xf>
    <xf numFmtId="0" fontId="5" fillId="0" borderId="0" xfId="1" applyFont="1" applyAlignment="1">
      <alignment vertical="top" wrapText="1"/>
    </xf>
    <xf numFmtId="0" fontId="1" fillId="0" borderId="22" xfId="1" applyBorder="1" applyProtection="1">
      <protection hidden="1"/>
    </xf>
    <xf numFmtId="0" fontId="1" fillId="0" borderId="24" xfId="1" applyBorder="1" applyProtection="1">
      <protection hidden="1"/>
    </xf>
    <xf numFmtId="0" fontId="8" fillId="0" borderId="15" xfId="5" applyFont="1" applyBorder="1" applyAlignment="1" applyProtection="1">
      <alignment horizontal="center" vertical="center"/>
      <protection hidden="1"/>
    </xf>
    <xf numFmtId="0" fontId="9" fillId="0" borderId="0" xfId="5" applyFont="1" applyAlignment="1" applyProtection="1">
      <alignment horizontal="left" vertical="center"/>
      <protection hidden="1"/>
    </xf>
    <xf numFmtId="3" fontId="10" fillId="2" borderId="0" xfId="5" applyNumberFormat="1" applyFont="1" applyFill="1" applyAlignment="1" applyProtection="1">
      <alignment horizontal="right"/>
      <protection locked="0"/>
    </xf>
    <xf numFmtId="0" fontId="8" fillId="0" borderId="0" xfId="5" applyFont="1" applyAlignment="1" applyProtection="1">
      <alignment horizontal="left" vertical="center"/>
      <protection hidden="1"/>
    </xf>
    <xf numFmtId="0" fontId="8" fillId="0" borderId="16" xfId="5" applyFont="1" applyBorder="1" applyAlignment="1" applyProtection="1">
      <alignment horizontal="left" vertical="center"/>
      <protection hidden="1"/>
    </xf>
    <xf numFmtId="0" fontId="62" fillId="0" borderId="15" xfId="5" applyFont="1" applyBorder="1" applyAlignment="1" applyProtection="1">
      <alignment horizontal="center"/>
      <protection hidden="1"/>
    </xf>
    <xf numFmtId="165" fontId="10" fillId="2" borderId="0" xfId="5" applyNumberFormat="1" applyFont="1" applyFill="1" applyProtection="1">
      <protection locked="0"/>
    </xf>
    <xf numFmtId="0" fontId="62" fillId="0" borderId="22" xfId="5" applyFont="1" applyBorder="1" applyAlignment="1" applyProtection="1">
      <alignment horizontal="center"/>
      <protection hidden="1"/>
    </xf>
    <xf numFmtId="4" fontId="10" fillId="2" borderId="23" xfId="5" applyNumberFormat="1" applyFont="1" applyFill="1" applyBorder="1" applyProtection="1">
      <protection locked="0"/>
    </xf>
    <xf numFmtId="4" fontId="49" fillId="0" borderId="23" xfId="5" applyNumberFormat="1" applyFont="1" applyBorder="1" applyProtection="1">
      <protection hidden="1"/>
    </xf>
    <xf numFmtId="0" fontId="62" fillId="0" borderId="8" xfId="5" applyFont="1" applyBorder="1" applyAlignment="1" applyProtection="1">
      <alignment horizontal="center"/>
      <protection hidden="1"/>
    </xf>
    <xf numFmtId="164" fontId="49" fillId="0" borderId="0" xfId="5" applyNumberFormat="1" applyFont="1" applyProtection="1">
      <protection hidden="1"/>
    </xf>
    <xf numFmtId="164" fontId="49" fillId="0" borderId="23" xfId="5" applyNumberFormat="1" applyFont="1" applyBorder="1" applyAlignment="1" applyProtection="1">
      <alignment horizontal="right"/>
      <protection hidden="1"/>
    </xf>
    <xf numFmtId="164" fontId="10" fillId="0" borderId="23" xfId="5" applyNumberFormat="1" applyFont="1" applyBorder="1" applyProtection="1">
      <protection hidden="1"/>
    </xf>
    <xf numFmtId="4" fontId="61" fillId="0" borderId="23" xfId="5" applyNumberFormat="1" applyFont="1" applyBorder="1" applyProtection="1">
      <protection hidden="1"/>
    </xf>
    <xf numFmtId="0" fontId="16" fillId="0" borderId="0" xfId="6" applyFont="1" applyAlignment="1" applyProtection="1">
      <alignment vertical="center"/>
      <protection hidden="1"/>
    </xf>
    <xf numFmtId="0" fontId="16" fillId="0" borderId="0" xfId="1" applyFont="1" applyAlignment="1" applyProtection="1">
      <alignment vertical="center"/>
      <protection hidden="1"/>
    </xf>
    <xf numFmtId="0" fontId="43" fillId="0" borderId="0" xfId="4" applyFont="1" applyAlignment="1" applyProtection="1">
      <alignment horizontal="center"/>
      <protection hidden="1"/>
    </xf>
    <xf numFmtId="0" fontId="2" fillId="0" borderId="35" xfId="4" applyFont="1" applyBorder="1" applyAlignment="1" applyProtection="1">
      <alignment horizontal="center" vertical="center"/>
      <protection hidden="1"/>
    </xf>
    <xf numFmtId="0" fontId="2" fillId="0" borderId="36" xfId="4" applyFont="1" applyBorder="1" applyAlignment="1" applyProtection="1">
      <alignment horizontal="center" vertical="center"/>
      <protection hidden="1"/>
    </xf>
    <xf numFmtId="0" fontId="2" fillId="0" borderId="37" xfId="4" applyFont="1" applyBorder="1" applyAlignment="1" applyProtection="1">
      <alignment horizontal="center" vertical="center"/>
      <protection hidden="1"/>
    </xf>
    <xf numFmtId="0" fontId="2" fillId="0" borderId="27" xfId="4" applyFont="1" applyBorder="1" applyAlignment="1" applyProtection="1">
      <alignment horizontal="center" vertical="center"/>
      <protection hidden="1"/>
    </xf>
    <xf numFmtId="0" fontId="2" fillId="0" borderId="38" xfId="4" applyFont="1" applyBorder="1" applyAlignment="1" applyProtection="1">
      <alignment horizontal="center" vertical="center"/>
      <protection hidden="1"/>
    </xf>
    <xf numFmtId="0" fontId="2" fillId="0" borderId="28" xfId="4" applyFont="1" applyBorder="1" applyAlignment="1" applyProtection="1">
      <alignment horizontal="center" vertical="center"/>
      <protection hidden="1"/>
    </xf>
    <xf numFmtId="0" fontId="44" fillId="0" borderId="8" xfId="4" applyFont="1" applyBorder="1" applyAlignment="1" applyProtection="1">
      <alignment horizontal="center"/>
      <protection hidden="1"/>
    </xf>
    <xf numFmtId="0" fontId="44" fillId="0" borderId="9" xfId="4" applyFont="1" applyBorder="1" applyAlignment="1" applyProtection="1">
      <alignment horizontal="center"/>
      <protection hidden="1"/>
    </xf>
    <xf numFmtId="0" fontId="44" fillId="0" borderId="10" xfId="4" applyFont="1" applyBorder="1" applyAlignment="1" applyProtection="1">
      <alignment horizontal="center"/>
      <protection hidden="1"/>
    </xf>
    <xf numFmtId="0" fontId="45" fillId="0" borderId="15" xfId="4" applyFont="1" applyBorder="1" applyAlignment="1" applyProtection="1">
      <alignment horizontal="center"/>
      <protection hidden="1"/>
    </xf>
    <xf numFmtId="0" fontId="45" fillId="0" borderId="0" xfId="4" applyFont="1" applyAlignment="1" applyProtection="1">
      <alignment horizontal="center"/>
      <protection hidden="1"/>
    </xf>
    <xf numFmtId="0" fontId="46" fillId="0" borderId="0" xfId="4" applyFont="1" applyAlignment="1" applyProtection="1">
      <alignment horizontal="center"/>
      <protection hidden="1"/>
    </xf>
    <xf numFmtId="0" fontId="46" fillId="0" borderId="16" xfId="4" applyFont="1" applyBorder="1" applyAlignment="1" applyProtection="1">
      <alignment horizontal="center"/>
      <protection hidden="1"/>
    </xf>
    <xf numFmtId="0" fontId="46" fillId="0" borderId="22" xfId="4" applyFont="1" applyBorder="1" applyAlignment="1" applyProtection="1">
      <alignment horizontal="center"/>
      <protection hidden="1"/>
    </xf>
    <xf numFmtId="0" fontId="46" fillId="0" borderId="23" xfId="4" applyFont="1" applyBorder="1" applyAlignment="1" applyProtection="1">
      <alignment horizontal="center"/>
      <protection hidden="1"/>
    </xf>
    <xf numFmtId="0" fontId="46" fillId="0" borderId="23" xfId="4" applyFont="1" applyBorder="1" applyAlignment="1" applyProtection="1">
      <alignment horizontal="left"/>
      <protection hidden="1"/>
    </xf>
    <xf numFmtId="0" fontId="46" fillId="0" borderId="24" xfId="4" applyFont="1" applyBorder="1" applyAlignment="1" applyProtection="1">
      <alignment horizontal="left"/>
      <protection hidden="1"/>
    </xf>
    <xf numFmtId="0" fontId="8" fillId="0" borderId="9" xfId="4" applyFont="1" applyBorder="1" applyAlignment="1">
      <alignment horizontal="right"/>
    </xf>
    <xf numFmtId="0" fontId="42" fillId="0" borderId="38" xfId="4" applyBorder="1" applyAlignment="1" applyProtection="1">
      <alignment horizontal="center"/>
      <protection hidden="1"/>
    </xf>
    <xf numFmtId="0" fontId="46" fillId="0" borderId="15" xfId="4" applyFont="1" applyBorder="1" applyAlignment="1" applyProtection="1">
      <alignment horizontal="center"/>
      <protection hidden="1"/>
    </xf>
    <xf numFmtId="0" fontId="46" fillId="0" borderId="0" xfId="4" applyFont="1" applyAlignment="1" applyProtection="1">
      <alignment horizontal="left"/>
      <protection hidden="1"/>
    </xf>
    <xf numFmtId="0" fontId="46" fillId="0" borderId="16" xfId="4" applyFont="1" applyBorder="1" applyAlignment="1" applyProtection="1">
      <alignment horizontal="left"/>
      <protection hidden="1"/>
    </xf>
    <xf numFmtId="0" fontId="46" fillId="0" borderId="15" xfId="4" applyFont="1" applyBorder="1" applyAlignment="1" applyProtection="1">
      <alignment horizontal="center" vertical="center"/>
      <protection hidden="1"/>
    </xf>
    <xf numFmtId="0" fontId="46" fillId="0" borderId="0" xfId="4" applyFont="1" applyAlignment="1" applyProtection="1">
      <alignment horizontal="center" vertical="center"/>
      <protection hidden="1"/>
    </xf>
    <xf numFmtId="0" fontId="46" fillId="0" borderId="0" xfId="4" applyFont="1" applyAlignment="1" applyProtection="1">
      <alignment horizontal="left" vertical="center" wrapText="1"/>
      <protection hidden="1"/>
    </xf>
    <xf numFmtId="0" fontId="46" fillId="0" borderId="16" xfId="4" applyFont="1" applyBorder="1" applyAlignment="1" applyProtection="1">
      <alignment horizontal="left" vertical="center" wrapText="1"/>
      <protection hidden="1"/>
    </xf>
    <xf numFmtId="0" fontId="8" fillId="0" borderId="29" xfId="1" applyFont="1" applyBorder="1" applyAlignment="1" applyProtection="1">
      <alignment horizontal="center"/>
      <protection hidden="1"/>
    </xf>
    <xf numFmtId="0" fontId="8" fillId="0" borderId="30" xfId="1" applyFont="1" applyBorder="1" applyAlignment="1" applyProtection="1">
      <alignment horizontal="center"/>
      <protection hidden="1"/>
    </xf>
    <xf numFmtId="0" fontId="8" fillId="0" borderId="31" xfId="1" applyFont="1" applyBorder="1" applyAlignment="1" applyProtection="1">
      <alignment horizontal="center"/>
      <protection hidden="1"/>
    </xf>
    <xf numFmtId="0" fontId="2" fillId="0" borderId="1" xfId="1" applyFont="1" applyBorder="1" applyAlignment="1" applyProtection="1">
      <alignment horizontal="center" vertical="center"/>
      <protection hidden="1"/>
    </xf>
    <xf numFmtId="0" fontId="2" fillId="0" borderId="2" xfId="1" applyFont="1" applyBorder="1" applyAlignment="1" applyProtection="1">
      <alignment horizontal="center" vertical="center"/>
      <protection hidden="1"/>
    </xf>
    <xf numFmtId="0" fontId="2" fillId="0" borderId="3" xfId="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7"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9" fillId="0" borderId="0" xfId="1" applyFont="1" applyAlignment="1">
      <alignment horizontal="center"/>
    </xf>
    <xf numFmtId="0" fontId="13" fillId="0" borderId="39" xfId="1" applyFont="1" applyBorder="1" applyAlignment="1" applyProtection="1">
      <alignment horizontal="center" vertical="center"/>
      <protection hidden="1"/>
    </xf>
    <xf numFmtId="0" fontId="13" fillId="0" borderId="40" xfId="1" applyFont="1" applyBorder="1" applyAlignment="1" applyProtection="1">
      <alignment horizontal="center" vertical="center"/>
      <protection hidden="1"/>
    </xf>
    <xf numFmtId="0" fontId="13" fillId="0" borderId="41" xfId="1" applyFont="1" applyBorder="1" applyAlignment="1" applyProtection="1">
      <alignment horizontal="center" vertical="center"/>
      <protection hidden="1"/>
    </xf>
    <xf numFmtId="0" fontId="8" fillId="5" borderId="7" xfId="1" applyFont="1" applyFill="1" applyBorder="1" applyAlignment="1" applyProtection="1">
      <alignment horizontal="center" vertical="center" wrapText="1"/>
      <protection hidden="1"/>
    </xf>
    <xf numFmtId="0" fontId="8" fillId="5" borderId="14" xfId="1" applyFont="1" applyFill="1" applyBorder="1" applyAlignment="1" applyProtection="1">
      <alignment horizontal="center" vertical="center" wrapText="1"/>
      <protection hidden="1"/>
    </xf>
    <xf numFmtId="0" fontId="8" fillId="5" borderId="21" xfId="1" applyFont="1" applyFill="1" applyBorder="1" applyAlignment="1" applyProtection="1">
      <alignment horizontal="center" vertical="center" wrapText="1"/>
      <protection hidden="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8" fillId="0" borderId="36" xfId="1" applyFont="1" applyBorder="1" applyAlignment="1">
      <alignment horizontal="left"/>
    </xf>
    <xf numFmtId="0" fontId="8" fillId="0" borderId="37" xfId="1" applyFont="1" applyBorder="1" applyAlignment="1">
      <alignment horizontal="left"/>
    </xf>
    <xf numFmtId="0" fontId="22" fillId="0" borderId="9" xfId="1" applyFont="1" applyBorder="1" applyAlignment="1">
      <alignment horizontal="left"/>
    </xf>
    <xf numFmtId="0" fontId="8" fillId="0" borderId="8" xfId="1" applyFont="1" applyBorder="1" applyAlignment="1">
      <alignment horizontal="center" vertical="justify" wrapText="1"/>
    </xf>
    <xf numFmtId="0" fontId="8" fillId="0" borderId="9" xfId="1" applyFont="1" applyBorder="1" applyAlignment="1">
      <alignment horizontal="center" vertical="justify" wrapText="1"/>
    </xf>
    <xf numFmtId="0" fontId="8" fillId="0" borderId="10" xfId="1" applyFont="1" applyBorder="1" applyAlignment="1">
      <alignment horizontal="center" vertical="justify" wrapText="1"/>
    </xf>
    <xf numFmtId="0" fontId="8" fillId="0" borderId="8"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9" fillId="0" borderId="15" xfId="1" applyFont="1" applyBorder="1" applyAlignment="1" applyProtection="1">
      <alignment horizontal="left" vertical="justify" wrapText="1"/>
      <protection locked="0"/>
    </xf>
    <xf numFmtId="0" fontId="9" fillId="0" borderId="0" xfId="1" applyFont="1" applyAlignment="1" applyProtection="1">
      <alignment horizontal="left" vertical="justify" wrapText="1"/>
      <protection locked="0"/>
    </xf>
    <xf numFmtId="0" fontId="9" fillId="0" borderId="16" xfId="1" applyFont="1" applyBorder="1" applyAlignment="1" applyProtection="1">
      <alignment horizontal="left" vertical="justify" wrapText="1"/>
      <protection locked="0"/>
    </xf>
    <xf numFmtId="3" fontId="10" fillId="2" borderId="23" xfId="1" applyNumberFormat="1" applyFont="1" applyFill="1" applyBorder="1" applyAlignment="1" applyProtection="1">
      <alignment horizontal="center"/>
      <protection locked="0"/>
    </xf>
    <xf numFmtId="3" fontId="10" fillId="2" borderId="24" xfId="1" applyNumberFormat="1" applyFont="1" applyFill="1" applyBorder="1" applyAlignment="1" applyProtection="1">
      <alignment horizontal="center"/>
      <protection locked="0"/>
    </xf>
    <xf numFmtId="0" fontId="9" fillId="0" borderId="22" xfId="1" applyFont="1" applyBorder="1" applyAlignment="1" applyProtection="1">
      <alignment horizontal="left" vertical="justify" wrapText="1"/>
      <protection locked="0"/>
    </xf>
    <xf numFmtId="0" fontId="9" fillId="0" borderId="23" xfId="1" applyFont="1" applyBorder="1" applyAlignment="1" applyProtection="1">
      <alignment horizontal="left" vertical="justify" wrapText="1"/>
      <protection locked="0"/>
    </xf>
    <xf numFmtId="0" fontId="9" fillId="0" borderId="24" xfId="1" applyFont="1" applyBorder="1" applyAlignment="1" applyProtection="1">
      <alignment horizontal="left" vertical="justify" wrapText="1"/>
      <protection locked="0"/>
    </xf>
    <xf numFmtId="0" fontId="24" fillId="0" borderId="0" xfId="3" applyFont="1" applyAlignment="1">
      <alignment horizontal="right"/>
    </xf>
    <xf numFmtId="0" fontId="24" fillId="0" borderId="55" xfId="3" applyFont="1" applyBorder="1" applyAlignment="1">
      <alignment horizontal="center" vertical="center"/>
    </xf>
    <xf numFmtId="0" fontId="24" fillId="0" borderId="41" xfId="3" applyFont="1" applyBorder="1" applyAlignment="1">
      <alignment horizontal="center" vertical="center"/>
    </xf>
    <xf numFmtId="4" fontId="41" fillId="7" borderId="39" xfId="3" applyNumberFormat="1" applyFont="1" applyFill="1" applyBorder="1" applyAlignment="1">
      <alignment horizontal="center"/>
    </xf>
    <xf numFmtId="4" fontId="41" fillId="7" borderId="41" xfId="3" applyNumberFormat="1" applyFont="1" applyFill="1" applyBorder="1" applyAlignment="1">
      <alignment horizontal="center"/>
    </xf>
    <xf numFmtId="0" fontId="2" fillId="0" borderId="1" xfId="3" applyFont="1" applyBorder="1" applyAlignment="1">
      <alignment horizontal="center"/>
    </xf>
    <xf numFmtId="0" fontId="2" fillId="0" borderId="2" xfId="3" applyFont="1" applyBorder="1" applyAlignment="1">
      <alignment horizontal="center"/>
    </xf>
    <xf numFmtId="0" fontId="2" fillId="0" borderId="3" xfId="3" applyFont="1" applyBorder="1" applyAlignment="1">
      <alignment horizontal="center"/>
    </xf>
    <xf numFmtId="167" fontId="24" fillId="0" borderId="43" xfId="3" applyNumberFormat="1" applyFont="1" applyBorder="1" applyAlignment="1">
      <alignment horizontal="center" vertical="center"/>
    </xf>
    <xf numFmtId="167" fontId="24" fillId="0" borderId="44" xfId="3" applyNumberFormat="1" applyFont="1" applyBorder="1" applyAlignment="1">
      <alignment horizontal="center" vertical="center"/>
    </xf>
    <xf numFmtId="167" fontId="24" fillId="0" borderId="45" xfId="3" applyNumberFormat="1" applyFont="1" applyBorder="1" applyAlignment="1">
      <alignment horizontal="center" vertical="center"/>
    </xf>
    <xf numFmtId="167" fontId="32" fillId="0" borderId="46" xfId="3" applyNumberFormat="1" applyFont="1" applyBorder="1" applyAlignment="1">
      <alignment horizontal="center" vertical="center" wrapText="1"/>
    </xf>
    <xf numFmtId="167" fontId="32" fillId="0" borderId="47" xfId="3" applyNumberFormat="1" applyFont="1" applyBorder="1" applyAlignment="1">
      <alignment horizontal="center" vertical="center" wrapText="1"/>
    </xf>
    <xf numFmtId="167" fontId="32" fillId="0" borderId="25" xfId="3" applyNumberFormat="1" applyFont="1" applyBorder="1" applyAlignment="1">
      <alignment horizontal="center" vertical="center" wrapText="1"/>
    </xf>
    <xf numFmtId="167" fontId="32" fillId="0" borderId="25" xfId="3" applyNumberFormat="1" applyFont="1" applyBorder="1" applyAlignment="1">
      <alignment horizontal="center" vertical="center"/>
    </xf>
    <xf numFmtId="3" fontId="37" fillId="0" borderId="25" xfId="3" applyNumberFormat="1" applyFont="1" applyBorder="1" applyAlignment="1">
      <alignment horizontal="center" vertical="center"/>
    </xf>
    <xf numFmtId="0" fontId="2" fillId="0" borderId="39" xfId="5" applyFont="1" applyBorder="1" applyAlignment="1" applyProtection="1">
      <alignment horizontal="center"/>
      <protection hidden="1"/>
    </xf>
    <xf numFmtId="0" fontId="2" fillId="0" borderId="40" xfId="5" applyFont="1" applyBorder="1" applyAlignment="1" applyProtection="1">
      <alignment horizontal="center"/>
      <protection hidden="1"/>
    </xf>
    <xf numFmtId="0" fontId="2" fillId="0" borderId="41" xfId="5" applyFont="1" applyBorder="1" applyAlignment="1" applyProtection="1">
      <alignment horizontal="center"/>
      <protection hidden="1"/>
    </xf>
    <xf numFmtId="0" fontId="8" fillId="0" borderId="0" xfId="5" applyFont="1" applyAlignment="1" applyProtection="1">
      <alignment horizontal="left" vertical="center"/>
      <protection hidden="1"/>
    </xf>
    <xf numFmtId="0" fontId="8" fillId="0" borderId="0" xfId="5" applyFont="1" applyAlignment="1" applyProtection="1">
      <alignment horizontal="right" vertical="center"/>
      <protection hidden="1"/>
    </xf>
    <xf numFmtId="0" fontId="9" fillId="0" borderId="7" xfId="4" applyFont="1" applyBorder="1" applyAlignment="1" applyProtection="1">
      <alignment horizontal="center" vertical="center"/>
      <protection hidden="1"/>
    </xf>
    <xf numFmtId="0" fontId="9" fillId="0" borderId="14" xfId="4" applyFont="1" applyBorder="1" applyAlignment="1" applyProtection="1">
      <alignment horizontal="center" vertical="center"/>
      <protection hidden="1"/>
    </xf>
    <xf numFmtId="0" fontId="9" fillId="0" borderId="21" xfId="4" applyFont="1" applyBorder="1" applyAlignment="1" applyProtection="1">
      <alignment horizontal="center" vertical="center"/>
      <protection hidden="1"/>
    </xf>
    <xf numFmtId="0" fontId="9" fillId="0" borderId="57" xfId="4" applyFont="1" applyBorder="1" applyAlignment="1" applyProtection="1">
      <alignment horizontal="left" vertical="center" wrapText="1" indent="1"/>
      <protection locked="0"/>
    </xf>
    <xf numFmtId="0" fontId="42" fillId="0" borderId="16" xfId="4" applyBorder="1" applyAlignment="1" applyProtection="1">
      <alignment horizontal="left" vertical="center" indent="1"/>
      <protection locked="0"/>
    </xf>
    <xf numFmtId="0" fontId="9" fillId="0" borderId="16" xfId="4" applyFont="1" applyBorder="1" applyAlignment="1" applyProtection="1">
      <alignment horizontal="left" vertical="center" wrapText="1" indent="1"/>
      <protection locked="0"/>
    </xf>
    <xf numFmtId="0" fontId="9" fillId="0" borderId="58" xfId="4" applyFont="1" applyBorder="1" applyAlignment="1" applyProtection="1">
      <alignment horizontal="center" vertical="center" wrapText="1"/>
      <protection locked="0"/>
    </xf>
    <xf numFmtId="0" fontId="9" fillId="0" borderId="24" xfId="4" applyFont="1" applyBorder="1" applyAlignment="1" applyProtection="1">
      <alignment horizontal="center" vertical="center" wrapText="1"/>
      <protection locked="0"/>
    </xf>
    <xf numFmtId="4" fontId="49" fillId="0" borderId="23" xfId="4" applyNumberFormat="1" applyFont="1" applyBorder="1" applyAlignment="1" applyProtection="1">
      <alignment horizontal="center"/>
      <protection hidden="1"/>
    </xf>
    <xf numFmtId="0" fontId="42" fillId="0" borderId="24" xfId="4" applyBorder="1" applyProtection="1">
      <protection hidden="1"/>
    </xf>
    <xf numFmtId="0" fontId="8" fillId="0" borderId="7" xfId="4" applyFont="1" applyBorder="1" applyAlignment="1" applyProtection="1">
      <alignment horizontal="center" vertical="center"/>
      <protection hidden="1"/>
    </xf>
    <xf numFmtId="0" fontId="8" fillId="0" borderId="21" xfId="4" applyFont="1" applyBorder="1" applyAlignment="1" applyProtection="1">
      <alignment horizontal="center" vertical="center"/>
      <protection hidden="1"/>
    </xf>
    <xf numFmtId="0" fontId="8" fillId="0" borderId="39" xfId="4" applyFont="1" applyBorder="1" applyAlignment="1" applyProtection="1">
      <alignment horizontal="center"/>
      <protection hidden="1"/>
    </xf>
    <xf numFmtId="0" fontId="8" fillId="0" borderId="41" xfId="4" applyFont="1" applyBorder="1" applyAlignment="1" applyProtection="1">
      <alignment horizontal="center"/>
      <protection hidden="1"/>
    </xf>
    <xf numFmtId="0" fontId="53" fillId="0" borderId="9" xfId="4" applyFont="1" applyBorder="1" applyAlignment="1" applyProtection="1">
      <alignment horizontal="left" vertical="center" wrapText="1"/>
      <protection hidden="1"/>
    </xf>
    <xf numFmtId="0" fontId="53" fillId="0" borderId="0" xfId="4" applyFont="1" applyAlignment="1" applyProtection="1">
      <alignment horizontal="left" vertical="center" wrapText="1"/>
      <protection hidden="1"/>
    </xf>
    <xf numFmtId="0" fontId="8" fillId="0" borderId="56" xfId="4" applyFont="1" applyBorder="1" applyAlignment="1" applyProtection="1">
      <alignment horizontal="center" vertical="justify" wrapText="1"/>
      <protection hidden="1"/>
    </xf>
    <xf numFmtId="0" fontId="8" fillId="0" borderId="10" xfId="4" applyFont="1" applyBorder="1" applyAlignment="1" applyProtection="1">
      <alignment horizontal="center" vertical="justify" wrapText="1"/>
      <protection hidden="1"/>
    </xf>
    <xf numFmtId="0" fontId="8" fillId="0" borderId="40" xfId="4" applyFont="1" applyBorder="1" applyAlignment="1" applyProtection="1">
      <alignment horizontal="center"/>
      <protection hidden="1"/>
    </xf>
    <xf numFmtId="0" fontId="42" fillId="0" borderId="0" xfId="4" applyAlignment="1">
      <alignment horizontal="center"/>
    </xf>
    <xf numFmtId="0" fontId="42" fillId="0" borderId="38" xfId="4" applyBorder="1" applyAlignment="1">
      <alignment horizontal="center"/>
    </xf>
    <xf numFmtId="0" fontId="2" fillId="0" borderId="1" xfId="4" applyFont="1" applyBorder="1" applyAlignment="1">
      <alignment horizontal="center"/>
    </xf>
    <xf numFmtId="0" fontId="2" fillId="0" borderId="2" xfId="4" applyFont="1" applyBorder="1" applyAlignment="1">
      <alignment horizontal="center"/>
    </xf>
    <xf numFmtId="0" fontId="2" fillId="0" borderId="3" xfId="4" applyFont="1" applyBorder="1" applyAlignment="1">
      <alignment horizontal="center"/>
    </xf>
    <xf numFmtId="0" fontId="44" fillId="0" borderId="39" xfId="4" applyFont="1" applyBorder="1" applyAlignment="1" applyProtection="1">
      <alignment horizontal="center"/>
      <protection hidden="1"/>
    </xf>
    <xf numFmtId="0" fontId="44" fillId="0" borderId="40" xfId="4" applyFont="1" applyBorder="1" applyAlignment="1" applyProtection="1">
      <alignment horizontal="center"/>
      <protection hidden="1"/>
    </xf>
    <xf numFmtId="0" fontId="44" fillId="0" borderId="41" xfId="4" applyFont="1" applyBorder="1" applyAlignment="1" applyProtection="1">
      <alignment horizontal="center"/>
      <protection hidden="1"/>
    </xf>
    <xf numFmtId="0" fontId="9" fillId="0" borderId="39" xfId="4" applyFont="1" applyBorder="1" applyAlignment="1" applyProtection="1">
      <alignment horizontal="center" vertical="center"/>
      <protection hidden="1"/>
    </xf>
    <xf numFmtId="0" fontId="9" fillId="0" borderId="40" xfId="4" applyFont="1" applyBorder="1" applyAlignment="1" applyProtection="1">
      <alignment horizontal="center" vertical="center"/>
      <protection hidden="1"/>
    </xf>
    <xf numFmtId="0" fontId="9" fillId="0" borderId="41" xfId="4" applyFont="1" applyBorder="1" applyAlignment="1" applyProtection="1">
      <alignment horizontal="center" vertical="center"/>
      <protection hidden="1"/>
    </xf>
    <xf numFmtId="0" fontId="8" fillId="0" borderId="0" xfId="4" applyFont="1" applyAlignment="1">
      <alignment horizontal="left"/>
    </xf>
    <xf numFmtId="0" fontId="53" fillId="0" borderId="0" xfId="4" applyFont="1" applyAlignment="1" applyProtection="1">
      <alignment horizontal="left"/>
      <protection hidden="1"/>
    </xf>
    <xf numFmtId="0" fontId="58" fillId="0" borderId="0" xfId="5" applyAlignment="1">
      <alignment horizontal="center"/>
    </xf>
    <xf numFmtId="0" fontId="59" fillId="0" borderId="23" xfId="5" applyFont="1" applyBorder="1" applyAlignment="1">
      <alignment horizontal="center"/>
    </xf>
    <xf numFmtId="0" fontId="5" fillId="0" borderId="0" xfId="5" applyFont="1" applyAlignment="1" applyProtection="1">
      <alignment horizontal="left" vertical="top" wrapText="1"/>
      <protection hidden="1"/>
    </xf>
    <xf numFmtId="0" fontId="5" fillId="0" borderId="23" xfId="5" applyFont="1" applyBorder="1" applyAlignment="1" applyProtection="1">
      <alignment horizontal="left" vertical="top" wrapText="1"/>
      <protection hidden="1"/>
    </xf>
    <xf numFmtId="0" fontId="8" fillId="0" borderId="39" xfId="1" applyFont="1" applyBorder="1" applyAlignment="1" applyProtection="1">
      <alignment horizontal="center"/>
      <protection hidden="1"/>
    </xf>
    <xf numFmtId="0" fontId="8" fillId="0" borderId="41" xfId="1" applyFont="1" applyBorder="1" applyAlignment="1" applyProtection="1">
      <alignment horizontal="center"/>
      <protection hidden="1"/>
    </xf>
    <xf numFmtId="0" fontId="9" fillId="0" borderId="7" xfId="1" applyFont="1" applyBorder="1" applyAlignment="1" applyProtection="1">
      <alignment horizontal="center" vertical="center"/>
      <protection hidden="1"/>
    </xf>
    <xf numFmtId="0" fontId="9" fillId="0" borderId="14"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9" fillId="0" borderId="16" xfId="1" applyFont="1" applyBorder="1" applyAlignment="1" applyProtection="1">
      <alignment horizontal="center" vertical="center"/>
      <protection hidden="1"/>
    </xf>
    <xf numFmtId="0" fontId="9" fillId="0" borderId="24" xfId="1" applyFont="1" applyBorder="1" applyAlignment="1" applyProtection="1">
      <alignment horizontal="center" vertical="center"/>
      <protection hidden="1"/>
    </xf>
    <xf numFmtId="0" fontId="8" fillId="0" borderId="7"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44" fillId="0" borderId="8" xfId="5" applyFont="1" applyBorder="1" applyAlignment="1" applyProtection="1">
      <alignment horizontal="center"/>
      <protection hidden="1"/>
    </xf>
    <xf numFmtId="0" fontId="44" fillId="0" borderId="9" xfId="5" applyFont="1" applyBorder="1" applyAlignment="1" applyProtection="1">
      <alignment horizontal="center"/>
      <protection hidden="1"/>
    </xf>
    <xf numFmtId="0" fontId="44" fillId="0" borderId="10" xfId="5" applyFont="1" applyBorder="1" applyAlignment="1" applyProtection="1">
      <alignment horizontal="center"/>
      <protection hidden="1"/>
    </xf>
    <xf numFmtId="0" fontId="1" fillId="0" borderId="0" xfId="1" applyAlignment="1">
      <alignment horizontal="center"/>
    </xf>
    <xf numFmtId="0" fontId="1" fillId="0" borderId="23" xfId="1" applyBorder="1" applyAlignment="1">
      <alignment horizontal="center"/>
    </xf>
    <xf numFmtId="0" fontId="2" fillId="0" borderId="39" xfId="1" applyFont="1" applyBorder="1" applyAlignment="1" applyProtection="1">
      <alignment horizontal="center"/>
      <protection hidden="1"/>
    </xf>
    <xf numFmtId="0" fontId="2" fillId="0" borderId="40" xfId="1" applyFont="1" applyBorder="1" applyAlignment="1" applyProtection="1">
      <alignment horizontal="center"/>
      <protection hidden="1"/>
    </xf>
    <xf numFmtId="0" fontId="2" fillId="0" borderId="41" xfId="1" applyFont="1" applyBorder="1" applyAlignment="1" applyProtection="1">
      <alignment horizontal="center"/>
      <protection hidden="1"/>
    </xf>
    <xf numFmtId="0" fontId="8" fillId="0" borderId="9"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0" xfId="1" applyFont="1" applyAlignment="1" applyProtection="1">
      <alignment horizontal="right" vertical="center"/>
      <protection hidden="1"/>
    </xf>
    <xf numFmtId="0" fontId="44" fillId="0" borderId="8" xfId="1" applyFont="1" applyBorder="1" applyAlignment="1" applyProtection="1">
      <alignment horizontal="center"/>
      <protection hidden="1"/>
    </xf>
    <xf numFmtId="0" fontId="44" fillId="0" borderId="9" xfId="1" applyFont="1" applyBorder="1" applyAlignment="1" applyProtection="1">
      <alignment horizontal="center"/>
      <protection hidden="1"/>
    </xf>
    <xf numFmtId="0" fontId="44" fillId="0" borderId="10" xfId="1" applyFont="1" applyBorder="1" applyAlignment="1" applyProtection="1">
      <alignment horizontal="center"/>
      <protection hidden="1"/>
    </xf>
    <xf numFmtId="0" fontId="5" fillId="0" borderId="0" xfId="1" applyFont="1" applyAlignment="1" applyProtection="1">
      <alignment horizontal="left" vertical="top" wrapText="1"/>
      <protection hidden="1"/>
    </xf>
    <xf numFmtId="0" fontId="5" fillId="0" borderId="23" xfId="1" applyFont="1" applyBorder="1" applyAlignment="1" applyProtection="1">
      <alignment horizontal="left" vertical="top" wrapText="1"/>
      <protection hidden="1"/>
    </xf>
    <xf numFmtId="0" fontId="8" fillId="0" borderId="23" xfId="1" applyFont="1" applyBorder="1" applyAlignment="1" applyProtection="1">
      <alignment horizontal="center" vertical="center"/>
      <protection hidden="1"/>
    </xf>
    <xf numFmtId="0" fontId="8" fillId="0" borderId="15" xfId="1" applyFont="1" applyBorder="1" applyAlignment="1" applyProtection="1">
      <alignment horizontal="center" vertical="center"/>
      <protection hidden="1"/>
    </xf>
    <xf numFmtId="0" fontId="9" fillId="0" borderId="0" xfId="1" applyFont="1" applyAlignment="1" applyProtection="1">
      <alignment horizontal="left" vertical="center"/>
      <protection hidden="1"/>
    </xf>
    <xf numFmtId="0" fontId="9" fillId="0" borderId="15" xfId="4" applyFont="1" applyBorder="1" applyAlignment="1" applyProtection="1">
      <alignment horizontal="left"/>
      <protection locked="0"/>
    </xf>
    <xf numFmtId="0" fontId="9" fillId="0" borderId="0" xfId="4" applyFont="1" applyAlignment="1" applyProtection="1">
      <alignment horizontal="left"/>
      <protection locked="0"/>
    </xf>
    <xf numFmtId="0" fontId="9" fillId="0" borderId="16" xfId="4" applyFont="1" applyBorder="1" applyAlignment="1" applyProtection="1">
      <alignment horizontal="left"/>
      <protection locked="0"/>
    </xf>
    <xf numFmtId="0" fontId="2" fillId="5" borderId="39" xfId="4" applyFont="1" applyFill="1" applyBorder="1" applyAlignment="1" applyProtection="1">
      <alignment horizontal="center" vertical="center" wrapText="1"/>
      <protection hidden="1"/>
    </xf>
    <xf numFmtId="0" fontId="2" fillId="5" borderId="40" xfId="4" applyFont="1" applyFill="1" applyBorder="1" applyAlignment="1" applyProtection="1">
      <alignment horizontal="center" vertical="center" wrapText="1"/>
      <protection hidden="1"/>
    </xf>
    <xf numFmtId="0" fontId="2" fillId="5" borderId="41" xfId="4" applyFont="1" applyFill="1" applyBorder="1" applyAlignment="1" applyProtection="1">
      <alignment horizontal="center" vertical="center" wrapText="1"/>
      <protection hidden="1"/>
    </xf>
    <xf numFmtId="0" fontId="8" fillId="0" borderId="0" xfId="4" applyFont="1" applyAlignment="1" applyProtection="1">
      <alignment horizontal="left"/>
      <protection hidden="1"/>
    </xf>
    <xf numFmtId="0" fontId="8" fillId="0" borderId="0" xfId="4" applyFont="1" applyAlignment="1" applyProtection="1">
      <alignment horizontal="right"/>
      <protection hidden="1"/>
    </xf>
    <xf numFmtId="0" fontId="8" fillId="0" borderId="8" xfId="4" applyFont="1" applyBorder="1" applyAlignment="1" applyProtection="1">
      <alignment horizontal="center"/>
      <protection hidden="1"/>
    </xf>
    <xf numFmtId="0" fontId="8" fillId="0" borderId="9" xfId="4" applyFont="1" applyBorder="1" applyAlignment="1" applyProtection="1">
      <alignment horizontal="center"/>
      <protection hidden="1"/>
    </xf>
    <xf numFmtId="0" fontId="8" fillId="0" borderId="10" xfId="4" applyFont="1" applyBorder="1" applyAlignment="1" applyProtection="1">
      <alignment horizontal="center"/>
      <protection hidden="1"/>
    </xf>
    <xf numFmtId="0" fontId="9" fillId="0" borderId="40" xfId="4" applyFont="1" applyBorder="1" applyAlignment="1">
      <alignment horizontal="center"/>
    </xf>
    <xf numFmtId="0" fontId="9" fillId="0" borderId="0" xfId="4" applyFont="1" applyAlignment="1">
      <alignment horizontal="center"/>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0" fontId="8" fillId="5" borderId="0" xfId="4" applyFont="1" applyFill="1" applyAlignment="1" applyProtection="1">
      <alignment horizontal="center" vertical="center" wrapText="1"/>
      <protection hidden="1"/>
    </xf>
    <xf numFmtId="0" fontId="8" fillId="5" borderId="22" xfId="4" applyFont="1" applyFill="1" applyBorder="1" applyAlignment="1" applyProtection="1">
      <alignment horizontal="center" vertical="center" wrapText="1"/>
      <protection hidden="1"/>
    </xf>
    <xf numFmtId="0" fontId="8" fillId="5" borderId="23" xfId="4" applyFont="1" applyFill="1" applyBorder="1" applyAlignment="1" applyProtection="1">
      <alignment horizontal="center" vertical="center" wrapText="1"/>
      <protection hidden="1"/>
    </xf>
    <xf numFmtId="0" fontId="9" fillId="0" borderId="22" xfId="4" applyFont="1" applyBorder="1" applyAlignment="1" applyProtection="1">
      <alignment horizontal="left"/>
      <protection locked="0"/>
    </xf>
    <xf numFmtId="0" fontId="9" fillId="0" borderId="23" xfId="4" applyFont="1" applyBorder="1" applyAlignment="1" applyProtection="1">
      <alignment horizontal="left"/>
      <protection locked="0"/>
    </xf>
    <xf numFmtId="0" fontId="9" fillId="0" borderId="24" xfId="4" applyFont="1" applyBorder="1" applyAlignment="1" applyProtection="1">
      <alignment horizontal="left"/>
      <protection locked="0"/>
    </xf>
    <xf numFmtId="0" fontId="8" fillId="0" borderId="9" xfId="4" applyFont="1" applyBorder="1" applyAlignment="1" applyProtection="1">
      <alignment horizontal="center" vertical="center" wrapText="1"/>
      <protection hidden="1"/>
    </xf>
    <xf numFmtId="0" fontId="8" fillId="0" borderId="15" xfId="4" applyFont="1" applyBorder="1" applyAlignment="1" applyProtection="1">
      <alignment horizontal="center" vertical="center" wrapText="1"/>
      <protection hidden="1"/>
    </xf>
    <xf numFmtId="0" fontId="8" fillId="0" borderId="0" xfId="4" applyFont="1" applyAlignment="1" applyProtection="1">
      <alignment horizontal="center" vertical="center" wrapText="1"/>
      <protection hidden="1"/>
    </xf>
    <xf numFmtId="0" fontId="8" fillId="0" borderId="22" xfId="4" applyFont="1" applyBorder="1" applyAlignment="1" applyProtection="1">
      <alignment horizontal="center" vertical="center" wrapText="1"/>
      <protection hidden="1"/>
    </xf>
    <xf numFmtId="0" fontId="8" fillId="0" borderId="23" xfId="4" applyFont="1" applyBorder="1" applyAlignment="1" applyProtection="1">
      <alignment horizontal="center" vertical="center" wrapText="1"/>
      <protection hidden="1"/>
    </xf>
    <xf numFmtId="0" fontId="8" fillId="5" borderId="8" xfId="4" applyFont="1" applyFill="1" applyBorder="1" applyAlignment="1" applyProtection="1">
      <alignment horizontal="center" vertical="center"/>
      <protection hidden="1"/>
    </xf>
    <xf numFmtId="0" fontId="8" fillId="5" borderId="9" xfId="4" applyFont="1" applyFill="1" applyBorder="1" applyAlignment="1" applyProtection="1">
      <alignment horizontal="center" vertical="center"/>
      <protection hidden="1"/>
    </xf>
    <xf numFmtId="0" fontId="8" fillId="5" borderId="15" xfId="4" applyFont="1" applyFill="1" applyBorder="1" applyAlignment="1" applyProtection="1">
      <alignment horizontal="center" vertical="center"/>
      <protection hidden="1"/>
    </xf>
    <xf numFmtId="0" fontId="8" fillId="5" borderId="0" xfId="4" applyFont="1" applyFill="1" applyAlignment="1" applyProtection="1">
      <alignment horizontal="center" vertical="center"/>
      <protection hidden="1"/>
    </xf>
    <xf numFmtId="0" fontId="8" fillId="5" borderId="22" xfId="4" applyFont="1" applyFill="1" applyBorder="1" applyAlignment="1" applyProtection="1">
      <alignment horizontal="center" vertical="center"/>
      <protection hidden="1"/>
    </xf>
    <xf numFmtId="0" fontId="8" fillId="5" borderId="23" xfId="4" applyFont="1" applyFill="1" applyBorder="1" applyAlignment="1" applyProtection="1">
      <alignment horizontal="center" vertical="center"/>
      <protection hidden="1"/>
    </xf>
  </cellXfs>
  <cellStyles count="7">
    <cellStyle name="Normal" xfId="0" builtinId="0"/>
    <cellStyle name="Normal 2" xfId="1" xr:uid="{5C7BAC9C-2BB3-45FF-8544-C332FE7F077A}"/>
    <cellStyle name="Normal 3" xfId="4" xr:uid="{AA70B3B8-FBEA-44B4-9C04-01595032FE49}"/>
    <cellStyle name="Normal_Anua_Pflo_design_package_VA_071811" xfId="6" xr:uid="{CDEE5EB2-46C1-42CD-BCB3-78CDBE6DF8A2}"/>
    <cellStyle name="Normal_Anua_Pflo_design_package_WI_080811 2" xfId="3" xr:uid="{175CF4B2-98BD-4202-909C-5C157074DE38}"/>
    <cellStyle name="Normal_Anua_Pflo_drainfield_design_Allen_050212" xfId="5" xr:uid="{D5C22AB5-327C-490F-B116-8F2EB9A8E534}"/>
    <cellStyle name="Normal_Anua_SmallCommercialDesign_072712A" xfId="2" xr:uid="{EBA5A4A1-93D1-485F-9C4C-58A1561D1E8F}"/>
  </cellStyles>
  <dxfs count="39">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12"/>
      </font>
      <fill>
        <patternFill>
          <bgColor indexed="13"/>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color theme="0"/>
      </font>
    </dxf>
    <dxf>
      <font>
        <color auto="1"/>
      </font>
      <fill>
        <patternFill>
          <bgColor rgb="FFCCFF99"/>
        </patternFill>
      </fill>
    </dxf>
    <dxf>
      <font>
        <color theme="0"/>
      </font>
      <fill>
        <patternFill>
          <bgColor theme="0"/>
        </patternFill>
      </fill>
    </dxf>
    <dxf>
      <font>
        <color theme="0"/>
      </font>
    </dxf>
    <dxf>
      <font>
        <color theme="0"/>
      </font>
    </dxf>
    <dxf>
      <font>
        <color theme="0"/>
      </font>
    </dxf>
    <dxf>
      <fill>
        <patternFill>
          <bgColor rgb="FFCCFF99"/>
        </patternFill>
      </fill>
    </dxf>
    <dxf>
      <fill>
        <patternFill>
          <bgColor rgb="FFCCFF99"/>
        </patternFill>
      </fill>
    </dxf>
    <dxf>
      <fill>
        <patternFill>
          <bgColor rgb="FFCCFF99"/>
        </patternFill>
      </fill>
    </dxf>
  </dxfs>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8.png"/><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2.jp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5" Type="http://schemas.openxmlformats.org/officeDocument/2006/relationships/image" Target="../media/image4.png"/><Relationship Id="rId4" Type="http://schemas.openxmlformats.org/officeDocument/2006/relationships/image" Target="../media/image16.png"/></Relationships>
</file>

<file path=xl/drawings/_rels/drawing7.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8</xdr:row>
      <xdr:rowOff>62231</xdr:rowOff>
    </xdr:from>
    <xdr:to>
      <xdr:col>3</xdr:col>
      <xdr:colOff>596339</xdr:colOff>
      <xdr:row>14</xdr:row>
      <xdr:rowOff>145843</xdr:rowOff>
    </xdr:to>
    <xdr:pic>
      <xdr:nvPicPr>
        <xdr:cNvPr id="5" name="Picture 4">
          <a:extLst>
            <a:ext uri="{FF2B5EF4-FFF2-40B4-BE49-F238E27FC236}">
              <a16:creationId xmlns:a16="http://schemas.microsoft.com/office/drawing/2014/main" id="{28416EB4-2FC3-46B0-84F1-D983D450A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738631"/>
          <a:ext cx="1739339" cy="1036112"/>
        </a:xfrm>
        <a:prstGeom prst="rect">
          <a:avLst/>
        </a:prstGeom>
      </xdr:spPr>
    </xdr:pic>
    <xdr:clientData/>
  </xdr:twoCellAnchor>
  <xdr:twoCellAnchor editAs="oneCell">
    <xdr:from>
      <xdr:col>5</xdr:col>
      <xdr:colOff>9248</xdr:colOff>
      <xdr:row>8</xdr:row>
      <xdr:rowOff>65928</xdr:rowOff>
    </xdr:from>
    <xdr:to>
      <xdr:col>7</xdr:col>
      <xdr:colOff>474586</xdr:colOff>
      <xdr:row>14</xdr:row>
      <xdr:rowOff>143190</xdr:rowOff>
    </xdr:to>
    <xdr:pic>
      <xdr:nvPicPr>
        <xdr:cNvPr id="6" name="Picture 5">
          <a:extLst>
            <a:ext uri="{FF2B5EF4-FFF2-40B4-BE49-F238E27FC236}">
              <a16:creationId xmlns:a16="http://schemas.microsoft.com/office/drawing/2014/main" id="{164FE631-1ADE-4B02-B5E4-4DD335F72A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4248" y="1742328"/>
          <a:ext cx="1735338" cy="1029762"/>
        </a:xfrm>
        <a:prstGeom prst="rect">
          <a:avLst/>
        </a:prstGeom>
      </xdr:spPr>
    </xdr:pic>
    <xdr:clientData/>
  </xdr:twoCellAnchor>
  <xdr:twoCellAnchor editAs="oneCell">
    <xdr:from>
      <xdr:col>3</xdr:col>
      <xdr:colOff>412750</xdr:colOff>
      <xdr:row>5</xdr:row>
      <xdr:rowOff>152400</xdr:rowOff>
    </xdr:from>
    <xdr:to>
      <xdr:col>5</xdr:col>
      <xdr:colOff>240030</xdr:colOff>
      <xdr:row>8</xdr:row>
      <xdr:rowOff>13190</xdr:rowOff>
    </xdr:to>
    <xdr:pic>
      <xdr:nvPicPr>
        <xdr:cNvPr id="3" name="Picture 2">
          <a:extLst>
            <a:ext uri="{FF2B5EF4-FFF2-40B4-BE49-F238E27FC236}">
              <a16:creationId xmlns:a16="http://schemas.microsoft.com/office/drawing/2014/main" id="{77177263-2B45-4763-A300-9D5D819233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17750" y="1181100"/>
          <a:ext cx="1097280" cy="337040"/>
        </a:xfrm>
        <a:prstGeom prst="rect">
          <a:avLst/>
        </a:prstGeom>
      </xdr:spPr>
    </xdr:pic>
    <xdr:clientData/>
  </xdr:twoCellAnchor>
  <xdr:twoCellAnchor editAs="oneCell">
    <xdr:from>
      <xdr:col>3</xdr:col>
      <xdr:colOff>44450</xdr:colOff>
      <xdr:row>0</xdr:row>
      <xdr:rowOff>25400</xdr:rowOff>
    </xdr:from>
    <xdr:to>
      <xdr:col>5</xdr:col>
      <xdr:colOff>603254</xdr:colOff>
      <xdr:row>1</xdr:row>
      <xdr:rowOff>135129</xdr:rowOff>
    </xdr:to>
    <xdr:pic>
      <xdr:nvPicPr>
        <xdr:cNvPr id="7" name="Picture 6">
          <a:extLst>
            <a:ext uri="{FF2B5EF4-FFF2-40B4-BE49-F238E27FC236}">
              <a16:creationId xmlns:a16="http://schemas.microsoft.com/office/drawing/2014/main" id="{123DA02C-05C0-4601-BE03-B7F49F366C8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49450" y="25400"/>
          <a:ext cx="1828804" cy="490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818445</xdr:colOff>
      <xdr:row>47</xdr:row>
      <xdr:rowOff>138290</xdr:rowOff>
    </xdr:from>
    <xdr:to>
      <xdr:col>7</xdr:col>
      <xdr:colOff>511580</xdr:colOff>
      <xdr:row>67</xdr:row>
      <xdr:rowOff>93135</xdr:rowOff>
    </xdr:to>
    <xdr:pic>
      <xdr:nvPicPr>
        <xdr:cNvPr id="26" name="Picture 25">
          <a:extLst>
            <a:ext uri="{FF2B5EF4-FFF2-40B4-BE49-F238E27FC236}">
              <a16:creationId xmlns:a16="http://schemas.microsoft.com/office/drawing/2014/main" id="{6321BEB1-789A-DAC3-B826-85DC695E5A7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5809" b="57196"/>
        <a:stretch/>
      </xdr:blipFill>
      <xdr:spPr>
        <a:xfrm>
          <a:off x="818445" y="8096957"/>
          <a:ext cx="6706357" cy="3200400"/>
        </a:xfrm>
        <a:prstGeom prst="rect">
          <a:avLst/>
        </a:prstGeom>
        <a:solidFill>
          <a:schemeClr val="bg1"/>
        </a:solidFill>
      </xdr:spPr>
    </xdr:pic>
    <xdr:clientData/>
  </xdr:twoCellAnchor>
  <xdr:twoCellAnchor editAs="oneCell">
    <xdr:from>
      <xdr:col>0</xdr:col>
      <xdr:colOff>689365</xdr:colOff>
      <xdr:row>69</xdr:row>
      <xdr:rowOff>125115</xdr:rowOff>
    </xdr:from>
    <xdr:to>
      <xdr:col>6</xdr:col>
      <xdr:colOff>1448424</xdr:colOff>
      <xdr:row>85</xdr:row>
      <xdr:rowOff>144318</xdr:rowOff>
    </xdr:to>
    <xdr:pic>
      <xdr:nvPicPr>
        <xdr:cNvPr id="32" name="Picture 31">
          <a:extLst>
            <a:ext uri="{FF2B5EF4-FFF2-40B4-BE49-F238E27FC236}">
              <a16:creationId xmlns:a16="http://schemas.microsoft.com/office/drawing/2014/main" id="{9F4BA05F-961E-4106-515E-79FE910F4856}"/>
            </a:ext>
          </a:extLst>
        </xdr:cNvPr>
        <xdr:cNvPicPr>
          <a:picLocks/>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9979" b="61264"/>
        <a:stretch/>
      </xdr:blipFill>
      <xdr:spPr>
        <a:xfrm>
          <a:off x="689365" y="11918797"/>
          <a:ext cx="6127695" cy="2697748"/>
        </a:xfrm>
        <a:prstGeom prst="rect">
          <a:avLst/>
        </a:prstGeom>
        <a:solidFill>
          <a:schemeClr val="bg1"/>
        </a:solidFill>
      </xdr:spPr>
    </xdr:pic>
    <xdr:clientData/>
  </xdr:twoCellAnchor>
  <xdr:twoCellAnchor>
    <xdr:from>
      <xdr:col>1</xdr:col>
      <xdr:colOff>1227773</xdr:colOff>
      <xdr:row>53</xdr:row>
      <xdr:rowOff>119063</xdr:rowOff>
    </xdr:from>
    <xdr:to>
      <xdr:col>1</xdr:col>
      <xdr:colOff>1475446</xdr:colOff>
      <xdr:row>54</xdr:row>
      <xdr:rowOff>138113</xdr:rowOff>
    </xdr:to>
    <xdr:sp macro="" textlink="H26">
      <xdr:nvSpPr>
        <xdr:cNvPr id="4" name="Text Box 14">
          <a:extLst>
            <a:ext uri="{FF2B5EF4-FFF2-40B4-BE49-F238E27FC236}">
              <a16:creationId xmlns:a16="http://schemas.microsoft.com/office/drawing/2014/main" id="{0F0D9ADA-1D4D-4F86-A395-E0CB59B52A86}"/>
            </a:ext>
          </a:extLst>
        </xdr:cNvPr>
        <xdr:cNvSpPr txBox="1">
          <a:spLocks noChangeArrowheads="1" noTextEdit="1"/>
        </xdr:cNvSpPr>
      </xdr:nvSpPr>
      <xdr:spPr bwMode="auto">
        <a:xfrm>
          <a:off x="2110423" y="9129713"/>
          <a:ext cx="247673" cy="1841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F44C7E07-0875-44AB-A225-4501C9D8A748}" type="TxLink">
            <a:rPr lang="en-US" sz="1000" b="1" i="0" u="none" strike="noStrike" baseline="0">
              <a:solidFill>
                <a:srgbClr val="000000"/>
              </a:solidFill>
              <a:latin typeface="Arial Narrow"/>
              <a:cs typeface="Arial"/>
            </a:rPr>
            <a:pPr algn="ctr" rtl="0">
              <a:defRPr sz="1000"/>
            </a:pPr>
            <a:t>6</a:t>
          </a:fld>
          <a:endParaRPr lang="en-US" sz="1000" b="1" i="0" u="none" strike="noStrike" baseline="0">
            <a:solidFill>
              <a:srgbClr val="000000"/>
            </a:solidFill>
            <a:latin typeface="Arial Narrow"/>
          </a:endParaRPr>
        </a:p>
      </xdr:txBody>
    </xdr:sp>
    <xdr:clientData/>
  </xdr:twoCellAnchor>
  <xdr:twoCellAnchor>
    <xdr:from>
      <xdr:col>1</xdr:col>
      <xdr:colOff>1023303</xdr:colOff>
      <xdr:row>56</xdr:row>
      <xdr:rowOff>0</xdr:rowOff>
    </xdr:from>
    <xdr:to>
      <xdr:col>1</xdr:col>
      <xdr:colOff>1265865</xdr:colOff>
      <xdr:row>57</xdr:row>
      <xdr:rowOff>18122</xdr:rowOff>
    </xdr:to>
    <xdr:sp macro="" textlink="H25">
      <xdr:nvSpPr>
        <xdr:cNvPr id="5" name="Text Box 15">
          <a:extLst>
            <a:ext uri="{FF2B5EF4-FFF2-40B4-BE49-F238E27FC236}">
              <a16:creationId xmlns:a16="http://schemas.microsoft.com/office/drawing/2014/main" id="{5E28DFB8-7A10-4E3D-89B0-527943FDD75A}"/>
            </a:ext>
          </a:extLst>
        </xdr:cNvPr>
        <xdr:cNvSpPr txBox="1">
          <a:spLocks noChangeArrowheads="1" noTextEdit="1"/>
        </xdr:cNvSpPr>
      </xdr:nvSpPr>
      <xdr:spPr bwMode="auto">
        <a:xfrm>
          <a:off x="1905953" y="9505950"/>
          <a:ext cx="242562" cy="183222"/>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B22A8FF8-2E06-4A93-AB63-59B0A94B3D53}" type="TxLink">
            <a:rPr lang="en-US" sz="1000" b="1" i="0" u="none" strike="noStrike" baseline="0">
              <a:solidFill>
                <a:srgbClr val="000000"/>
              </a:solidFill>
              <a:latin typeface="Arial Narrow"/>
              <a:cs typeface="Arial"/>
            </a:rPr>
            <a:pPr algn="ctr" rtl="0">
              <a:defRPr sz="1000"/>
            </a:pPr>
            <a:t>6</a:t>
          </a:fld>
          <a:endParaRPr lang="en-US" sz="1000" b="1" i="0" u="none" strike="noStrike" baseline="0">
            <a:solidFill>
              <a:srgbClr val="000000"/>
            </a:solidFill>
            <a:latin typeface="Arial Narrow"/>
          </a:endParaRPr>
        </a:p>
      </xdr:txBody>
    </xdr:sp>
    <xdr:clientData/>
  </xdr:twoCellAnchor>
  <xdr:twoCellAnchor>
    <xdr:from>
      <xdr:col>2</xdr:col>
      <xdr:colOff>275908</xdr:colOff>
      <xdr:row>59</xdr:row>
      <xdr:rowOff>153673</xdr:rowOff>
    </xdr:from>
    <xdr:to>
      <xdr:col>2</xdr:col>
      <xdr:colOff>518819</xdr:colOff>
      <xdr:row>61</xdr:row>
      <xdr:rowOff>6739</xdr:rowOff>
    </xdr:to>
    <xdr:sp macro="" textlink="H22">
      <xdr:nvSpPr>
        <xdr:cNvPr id="6" name="Text Box 16">
          <a:extLst>
            <a:ext uri="{FF2B5EF4-FFF2-40B4-BE49-F238E27FC236}">
              <a16:creationId xmlns:a16="http://schemas.microsoft.com/office/drawing/2014/main" id="{9CFE1C19-5C68-49CA-953C-659C149DA0FC}"/>
            </a:ext>
          </a:extLst>
        </xdr:cNvPr>
        <xdr:cNvSpPr txBox="1">
          <a:spLocks noChangeArrowheads="1" noTextEdit="1"/>
        </xdr:cNvSpPr>
      </xdr:nvSpPr>
      <xdr:spPr bwMode="auto">
        <a:xfrm>
          <a:off x="2809558" y="10154923"/>
          <a:ext cx="242911" cy="18326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F88E3F8F-1715-49AC-947C-414D4C815C30}" type="TxLink">
            <a:rPr lang="en-US" sz="1000" b="1" i="0" u="none" strike="noStrike" baseline="0">
              <a:solidFill>
                <a:srgbClr val="000000"/>
              </a:solidFill>
              <a:latin typeface="Arial Narrow"/>
              <a:cs typeface="Arial"/>
            </a:rPr>
            <a:pPr algn="ctr" rtl="0">
              <a:defRPr sz="1000"/>
            </a:pPr>
            <a:t>4</a:t>
          </a:fld>
          <a:endParaRPr lang="en-US" sz="1000" b="1" i="0" u="none" strike="noStrike" baseline="0">
            <a:solidFill>
              <a:srgbClr val="000000"/>
            </a:solidFill>
            <a:latin typeface="Arial Narrow"/>
          </a:endParaRPr>
        </a:p>
      </xdr:txBody>
    </xdr:sp>
    <xdr:clientData/>
  </xdr:twoCellAnchor>
  <xdr:twoCellAnchor>
    <xdr:from>
      <xdr:col>5</xdr:col>
      <xdr:colOff>315913</xdr:colOff>
      <xdr:row>57</xdr:row>
      <xdr:rowOff>155894</xdr:rowOff>
    </xdr:from>
    <xdr:to>
      <xdr:col>5</xdr:col>
      <xdr:colOff>541331</xdr:colOff>
      <xdr:row>59</xdr:row>
      <xdr:rowOff>10638</xdr:rowOff>
    </xdr:to>
    <xdr:sp macro="" textlink="H24">
      <xdr:nvSpPr>
        <xdr:cNvPr id="7" name="Text Box 17">
          <a:extLst>
            <a:ext uri="{FF2B5EF4-FFF2-40B4-BE49-F238E27FC236}">
              <a16:creationId xmlns:a16="http://schemas.microsoft.com/office/drawing/2014/main" id="{D5C84148-4507-4BF3-8D38-674A6FA640F9}"/>
            </a:ext>
          </a:extLst>
        </xdr:cNvPr>
        <xdr:cNvSpPr txBox="1">
          <a:spLocks noChangeArrowheads="1" noTextEdit="1"/>
        </xdr:cNvSpPr>
      </xdr:nvSpPr>
      <xdr:spPr bwMode="auto">
        <a:xfrm>
          <a:off x="4799013" y="9826944"/>
          <a:ext cx="225418" cy="184944"/>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C1452AA8-DAE0-4ED6-810F-F4ACDF9AEA42}" type="TxLink">
            <a:rPr lang="en-US" sz="1000" b="1" i="0" u="none" strike="noStrike" baseline="0">
              <a:solidFill>
                <a:srgbClr val="000000"/>
              </a:solidFill>
              <a:latin typeface="Arial Narrow"/>
              <a:cs typeface="Arial"/>
            </a:rPr>
            <a:pPr algn="ctr" rtl="0">
              <a:defRPr sz="1000"/>
            </a:pPr>
            <a:t>6</a:t>
          </a:fld>
          <a:endParaRPr lang="en-US" sz="1000" b="1" i="0" u="none" strike="noStrike" baseline="0">
            <a:solidFill>
              <a:srgbClr val="000000"/>
            </a:solidFill>
            <a:latin typeface="Arial Narrow"/>
          </a:endParaRPr>
        </a:p>
      </xdr:txBody>
    </xdr:sp>
    <xdr:clientData/>
  </xdr:twoCellAnchor>
  <xdr:twoCellAnchor>
    <xdr:from>
      <xdr:col>5</xdr:col>
      <xdr:colOff>315913</xdr:colOff>
      <xdr:row>60</xdr:row>
      <xdr:rowOff>60964</xdr:rowOff>
    </xdr:from>
    <xdr:to>
      <xdr:col>5</xdr:col>
      <xdr:colOff>541331</xdr:colOff>
      <xdr:row>61</xdr:row>
      <xdr:rowOff>76204</xdr:rowOff>
    </xdr:to>
    <xdr:sp macro="" textlink="H23">
      <xdr:nvSpPr>
        <xdr:cNvPr id="8" name="Text Box 18">
          <a:extLst>
            <a:ext uri="{FF2B5EF4-FFF2-40B4-BE49-F238E27FC236}">
              <a16:creationId xmlns:a16="http://schemas.microsoft.com/office/drawing/2014/main" id="{9B1B052E-C0A3-4A91-975D-D337ACADA91C}"/>
            </a:ext>
          </a:extLst>
        </xdr:cNvPr>
        <xdr:cNvSpPr txBox="1">
          <a:spLocks noChangeArrowheads="1" noTextEdit="1"/>
        </xdr:cNvSpPr>
      </xdr:nvSpPr>
      <xdr:spPr bwMode="auto">
        <a:xfrm>
          <a:off x="4799013" y="10227314"/>
          <a:ext cx="225418" cy="18034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550118EB-E11E-44EB-A55A-2F0442C7D56A}" type="TxLink">
            <a:rPr lang="en-US" sz="1000" b="1" i="0" u="none" strike="noStrike" baseline="0">
              <a:solidFill>
                <a:srgbClr val="000000"/>
              </a:solidFill>
              <a:latin typeface="Arial Narrow"/>
              <a:cs typeface="Arial"/>
            </a:rPr>
            <a:pPr algn="ctr" rtl="0">
              <a:defRPr sz="1000"/>
            </a:pPr>
            <a:t>6</a:t>
          </a:fld>
          <a:endParaRPr lang="en-US" sz="1000" b="1" i="0" u="none" strike="noStrike" baseline="0">
            <a:solidFill>
              <a:srgbClr val="000000"/>
            </a:solidFill>
            <a:latin typeface="Arial Narrow"/>
          </a:endParaRPr>
        </a:p>
      </xdr:txBody>
    </xdr:sp>
    <xdr:clientData/>
  </xdr:twoCellAnchor>
  <xdr:twoCellAnchor>
    <xdr:from>
      <xdr:col>3</xdr:col>
      <xdr:colOff>472746</xdr:colOff>
      <xdr:row>71</xdr:row>
      <xdr:rowOff>116230</xdr:rowOff>
    </xdr:from>
    <xdr:to>
      <xdr:col>4</xdr:col>
      <xdr:colOff>32536</xdr:colOff>
      <xdr:row>72</xdr:row>
      <xdr:rowOff>142017</xdr:rowOff>
    </xdr:to>
    <xdr:sp macro="" textlink="H20">
      <xdr:nvSpPr>
        <xdr:cNvPr id="9" name="Text Box 19">
          <a:extLst>
            <a:ext uri="{FF2B5EF4-FFF2-40B4-BE49-F238E27FC236}">
              <a16:creationId xmlns:a16="http://schemas.microsoft.com/office/drawing/2014/main" id="{42408868-8CA6-42D1-956E-68770D8C4DD1}"/>
            </a:ext>
          </a:extLst>
        </xdr:cNvPr>
        <xdr:cNvSpPr txBox="1">
          <a:spLocks noChangeArrowheads="1" noTextEdit="1"/>
        </xdr:cNvSpPr>
      </xdr:nvSpPr>
      <xdr:spPr bwMode="auto">
        <a:xfrm>
          <a:off x="3820928" y="12244730"/>
          <a:ext cx="373744" cy="193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F5908B1A-905E-4051-A9FA-C406960D65D3}" type="TxLink">
            <a:rPr lang="en-US" sz="1000" b="1" i="0" u="none" strike="noStrike" baseline="0">
              <a:solidFill>
                <a:srgbClr val="000000"/>
              </a:solidFill>
              <a:latin typeface="Arial Narrow"/>
              <a:cs typeface="Arial"/>
            </a:rPr>
            <a:pPr algn="ctr" rtl="0">
              <a:defRPr sz="1000"/>
            </a:pPr>
            <a:t>100.0</a:t>
          </a:fld>
          <a:endParaRPr lang="en-US" sz="1000" b="1" i="0" u="none" strike="noStrike" baseline="0">
            <a:solidFill>
              <a:srgbClr val="000000"/>
            </a:solidFill>
            <a:latin typeface="Arial Narrow"/>
          </a:endParaRPr>
        </a:p>
      </xdr:txBody>
    </xdr:sp>
    <xdr:clientData/>
  </xdr:twoCellAnchor>
  <xdr:twoCellAnchor>
    <xdr:from>
      <xdr:col>6</xdr:col>
      <xdr:colOff>606939</xdr:colOff>
      <xdr:row>71</xdr:row>
      <xdr:rowOff>110457</xdr:rowOff>
    </xdr:from>
    <xdr:to>
      <xdr:col>6</xdr:col>
      <xdr:colOff>963513</xdr:colOff>
      <xdr:row>72</xdr:row>
      <xdr:rowOff>136244</xdr:rowOff>
    </xdr:to>
    <xdr:sp macro="" textlink="H29">
      <xdr:nvSpPr>
        <xdr:cNvPr id="10" name="Text Box 20">
          <a:extLst>
            <a:ext uri="{FF2B5EF4-FFF2-40B4-BE49-F238E27FC236}">
              <a16:creationId xmlns:a16="http://schemas.microsoft.com/office/drawing/2014/main" id="{BF124DE0-6006-4BA4-9806-8D93ED47AA45}"/>
            </a:ext>
          </a:extLst>
        </xdr:cNvPr>
        <xdr:cNvSpPr txBox="1">
          <a:spLocks noChangeArrowheads="1" noTextEdit="1"/>
        </xdr:cNvSpPr>
      </xdr:nvSpPr>
      <xdr:spPr bwMode="auto">
        <a:xfrm>
          <a:off x="5975575" y="12238957"/>
          <a:ext cx="356574" cy="193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F3C4D2B0-CE8E-4064-9B97-ECA46CA403CF}" type="TxLink">
            <a:rPr lang="en-US" sz="1000" b="1" i="0" u="none" strike="noStrike" baseline="0">
              <a:solidFill>
                <a:srgbClr val="000000"/>
              </a:solidFill>
              <a:latin typeface="Arial Narrow"/>
              <a:cs typeface="Arial"/>
            </a:rPr>
            <a:pPr algn="ctr" rtl="0">
              <a:defRPr sz="1000"/>
            </a:pPr>
            <a:t>4.3</a:t>
          </a:fld>
          <a:endParaRPr lang="en-US" sz="1000" b="1" i="0" u="none" strike="noStrike" baseline="0">
            <a:solidFill>
              <a:srgbClr val="000000"/>
            </a:solidFill>
            <a:latin typeface="Arial Narrow"/>
          </a:endParaRPr>
        </a:p>
      </xdr:txBody>
    </xdr:sp>
    <xdr:clientData/>
  </xdr:twoCellAnchor>
  <xdr:twoCellAnchor>
    <xdr:from>
      <xdr:col>4</xdr:col>
      <xdr:colOff>256013</xdr:colOff>
      <xdr:row>77</xdr:row>
      <xdr:rowOff>112395</xdr:rowOff>
    </xdr:from>
    <xdr:to>
      <xdr:col>5</xdr:col>
      <xdr:colOff>307388</xdr:colOff>
      <xdr:row>78</xdr:row>
      <xdr:rowOff>138182</xdr:rowOff>
    </xdr:to>
    <xdr:sp macro="" textlink="H32">
      <xdr:nvSpPr>
        <xdr:cNvPr id="11" name="Text Box 21">
          <a:extLst>
            <a:ext uri="{FF2B5EF4-FFF2-40B4-BE49-F238E27FC236}">
              <a16:creationId xmlns:a16="http://schemas.microsoft.com/office/drawing/2014/main" id="{906D8489-D44C-4256-876E-107A8B1AE867}"/>
            </a:ext>
          </a:extLst>
        </xdr:cNvPr>
        <xdr:cNvSpPr txBox="1">
          <a:spLocks noChangeArrowheads="1" noTextEdit="1"/>
        </xdr:cNvSpPr>
      </xdr:nvSpPr>
      <xdr:spPr bwMode="auto">
        <a:xfrm>
          <a:off x="4418149" y="13245350"/>
          <a:ext cx="374648" cy="193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BAC5F834-0814-421C-AF70-2D72BC36695D}" type="TxLink">
            <a:rPr lang="en-US" sz="1000" b="1" i="0" u="none" strike="noStrike" baseline="0">
              <a:solidFill>
                <a:srgbClr val="000000"/>
              </a:solidFill>
              <a:latin typeface="Arial Narrow"/>
              <a:cs typeface="Arial"/>
            </a:rPr>
            <a:pPr algn="ctr" rtl="0">
              <a:defRPr sz="1000"/>
            </a:pPr>
            <a:t>42.9</a:t>
          </a:fld>
          <a:endParaRPr lang="en-US" sz="1000" b="1" i="0" u="none" strike="noStrike" baseline="0">
            <a:solidFill>
              <a:srgbClr val="000000"/>
            </a:solidFill>
            <a:latin typeface="Arial Narrow"/>
          </a:endParaRPr>
        </a:p>
      </xdr:txBody>
    </xdr:sp>
    <xdr:clientData/>
  </xdr:twoCellAnchor>
  <xdr:twoCellAnchor>
    <xdr:from>
      <xdr:col>3</xdr:col>
      <xdr:colOff>468620</xdr:colOff>
      <xdr:row>84</xdr:row>
      <xdr:rowOff>83852</xdr:rowOff>
    </xdr:from>
    <xdr:to>
      <xdr:col>4</xdr:col>
      <xdr:colOff>24786</xdr:colOff>
      <xdr:row>85</xdr:row>
      <xdr:rowOff>109639</xdr:rowOff>
    </xdr:to>
    <xdr:sp macro="" textlink="H31">
      <xdr:nvSpPr>
        <xdr:cNvPr id="12" name="Text Box 22">
          <a:extLst>
            <a:ext uri="{FF2B5EF4-FFF2-40B4-BE49-F238E27FC236}">
              <a16:creationId xmlns:a16="http://schemas.microsoft.com/office/drawing/2014/main" id="{E9B1E3AD-C6F5-45E4-BD40-A5FBA9087142}"/>
            </a:ext>
          </a:extLst>
        </xdr:cNvPr>
        <xdr:cNvSpPr txBox="1">
          <a:spLocks noChangeArrowheads="1" noTextEdit="1"/>
        </xdr:cNvSpPr>
      </xdr:nvSpPr>
      <xdr:spPr bwMode="auto">
        <a:xfrm>
          <a:off x="3816802" y="14388670"/>
          <a:ext cx="370120" cy="193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0377CA68-6886-48AD-9465-D9D19C300465}" type="TxLink">
            <a:rPr lang="en-US" sz="1000" b="1" i="0" u="none" strike="noStrike" baseline="0">
              <a:solidFill>
                <a:srgbClr val="000000"/>
              </a:solidFill>
              <a:latin typeface="Arial Narrow"/>
              <a:cs typeface="Arial"/>
            </a:rPr>
            <a:pPr algn="ctr" rtl="0">
              <a:defRPr sz="1000"/>
            </a:pPr>
            <a:t>108.5</a:t>
          </a:fld>
          <a:endParaRPr lang="en-US" sz="1000" b="1" i="0" u="none" strike="noStrike" baseline="0">
            <a:solidFill>
              <a:srgbClr val="000000"/>
            </a:solidFill>
            <a:latin typeface="Arial Narrow"/>
          </a:endParaRPr>
        </a:p>
      </xdr:txBody>
    </xdr:sp>
    <xdr:clientData/>
  </xdr:twoCellAnchor>
  <xdr:twoCellAnchor>
    <xdr:from>
      <xdr:col>1</xdr:col>
      <xdr:colOff>561341</xdr:colOff>
      <xdr:row>78</xdr:row>
      <xdr:rowOff>90835</xdr:rowOff>
    </xdr:from>
    <xdr:to>
      <xdr:col>1</xdr:col>
      <xdr:colOff>919520</xdr:colOff>
      <xdr:row>79</xdr:row>
      <xdr:rowOff>116622</xdr:rowOff>
    </xdr:to>
    <xdr:sp macro="" textlink="H27">
      <xdr:nvSpPr>
        <xdr:cNvPr id="13" name="Text Box 23">
          <a:extLst>
            <a:ext uri="{FF2B5EF4-FFF2-40B4-BE49-F238E27FC236}">
              <a16:creationId xmlns:a16="http://schemas.microsoft.com/office/drawing/2014/main" id="{EE361237-E0CD-4C07-A494-93B64E200BFC}"/>
            </a:ext>
          </a:extLst>
        </xdr:cNvPr>
        <xdr:cNvSpPr txBox="1">
          <a:spLocks noChangeArrowheads="1" noTextEdit="1"/>
        </xdr:cNvSpPr>
      </xdr:nvSpPr>
      <xdr:spPr bwMode="auto">
        <a:xfrm>
          <a:off x="1444568" y="13391199"/>
          <a:ext cx="358179" cy="193196"/>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8E8EA470-FC8C-496A-8961-5BB5C0F7C24D}" type="TxLink">
            <a:rPr lang="en-US" sz="1000" b="1" i="0" u="none" strike="noStrike" baseline="0">
              <a:solidFill>
                <a:srgbClr val="000000"/>
              </a:solidFill>
              <a:latin typeface="Arial Narrow"/>
              <a:cs typeface="Arial"/>
            </a:rPr>
            <a:pPr algn="ctr" rtl="0">
              <a:defRPr sz="1000"/>
            </a:pPr>
            <a:t>4.8</a:t>
          </a:fld>
          <a:endParaRPr lang="en-US" sz="1000" b="1" i="0" u="none" strike="noStrike" baseline="0">
            <a:solidFill>
              <a:srgbClr val="000000"/>
            </a:solidFill>
            <a:latin typeface="Arial Narrow"/>
          </a:endParaRPr>
        </a:p>
      </xdr:txBody>
    </xdr:sp>
    <xdr:clientData/>
  </xdr:twoCellAnchor>
  <xdr:twoCellAnchor>
    <xdr:from>
      <xdr:col>1</xdr:col>
      <xdr:colOff>561341</xdr:colOff>
      <xdr:row>74</xdr:row>
      <xdr:rowOff>100012</xdr:rowOff>
    </xdr:from>
    <xdr:to>
      <xdr:col>1</xdr:col>
      <xdr:colOff>919520</xdr:colOff>
      <xdr:row>75</xdr:row>
      <xdr:rowOff>137011</xdr:rowOff>
    </xdr:to>
    <xdr:sp macro="" textlink="H19">
      <xdr:nvSpPr>
        <xdr:cNvPr id="14" name="Text Box 24">
          <a:extLst>
            <a:ext uri="{FF2B5EF4-FFF2-40B4-BE49-F238E27FC236}">
              <a16:creationId xmlns:a16="http://schemas.microsoft.com/office/drawing/2014/main" id="{F4F9636A-1DB5-4758-AA64-D09EF334182F}"/>
            </a:ext>
          </a:extLst>
        </xdr:cNvPr>
        <xdr:cNvSpPr txBox="1">
          <a:spLocks noChangeArrowheads="1" noTextEdit="1"/>
        </xdr:cNvSpPr>
      </xdr:nvSpPr>
      <xdr:spPr bwMode="auto">
        <a:xfrm>
          <a:off x="1443991" y="12577762"/>
          <a:ext cx="358179" cy="20209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BD36D7DA-43BE-4E50-954C-B1738CB63B78}" type="TxLink">
            <a:rPr lang="en-US" sz="1000" b="1" i="0" u="none" strike="noStrike" baseline="0">
              <a:solidFill>
                <a:srgbClr val="000000"/>
              </a:solidFill>
              <a:latin typeface="Arial Narrow"/>
              <a:cs typeface="Arial"/>
            </a:rPr>
            <a:pPr algn="ctr" rtl="0">
              <a:defRPr sz="1000"/>
            </a:pPr>
            <a:t>4.5</a:t>
          </a:fld>
          <a:endParaRPr lang="en-US" sz="1000" b="1" i="0" u="none" strike="noStrike" baseline="0">
            <a:solidFill>
              <a:srgbClr val="000000"/>
            </a:solidFill>
            <a:latin typeface="Arial Narrow"/>
          </a:endParaRPr>
        </a:p>
      </xdr:txBody>
    </xdr:sp>
    <xdr:clientData/>
  </xdr:twoCellAnchor>
  <xdr:twoCellAnchor>
    <xdr:from>
      <xdr:col>1</xdr:col>
      <xdr:colOff>561341</xdr:colOff>
      <xdr:row>71</xdr:row>
      <xdr:rowOff>106157</xdr:rowOff>
    </xdr:from>
    <xdr:to>
      <xdr:col>1</xdr:col>
      <xdr:colOff>919520</xdr:colOff>
      <xdr:row>72</xdr:row>
      <xdr:rowOff>133549</xdr:rowOff>
    </xdr:to>
    <xdr:sp macro="" textlink="H28">
      <xdr:nvSpPr>
        <xdr:cNvPr id="15" name="Text Box 25">
          <a:extLst>
            <a:ext uri="{FF2B5EF4-FFF2-40B4-BE49-F238E27FC236}">
              <a16:creationId xmlns:a16="http://schemas.microsoft.com/office/drawing/2014/main" id="{0B4DC49E-E1F2-43CC-B7A6-55778451DD02}"/>
            </a:ext>
          </a:extLst>
        </xdr:cNvPr>
        <xdr:cNvSpPr txBox="1">
          <a:spLocks noChangeArrowheads="1" noTextEdit="1"/>
        </xdr:cNvSpPr>
      </xdr:nvSpPr>
      <xdr:spPr bwMode="auto">
        <a:xfrm>
          <a:off x="1444568" y="12234657"/>
          <a:ext cx="358179" cy="19480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D9A7F4B3-0577-48FE-945B-76D5074BDEBA}" type="TxLink">
            <a:rPr lang="en-US" sz="1000" b="1" i="0" u="none" strike="noStrike" baseline="0">
              <a:solidFill>
                <a:srgbClr val="000000"/>
              </a:solidFill>
              <a:latin typeface="Arial Narrow"/>
              <a:cs typeface="Arial"/>
            </a:rPr>
            <a:pPr algn="ctr" rtl="0">
              <a:defRPr sz="1000"/>
            </a:pPr>
            <a:t>3.8</a:t>
          </a:fld>
          <a:endParaRPr lang="en-US" sz="1000" b="1" i="0" u="none" strike="noStrike" baseline="0">
            <a:solidFill>
              <a:srgbClr val="000000"/>
            </a:solidFill>
            <a:latin typeface="Arial Narrow"/>
          </a:endParaRPr>
        </a:p>
      </xdr:txBody>
    </xdr:sp>
    <xdr:clientData/>
  </xdr:twoCellAnchor>
  <xdr:twoCellAnchor>
    <xdr:from>
      <xdr:col>0</xdr:col>
      <xdr:colOff>838463</xdr:colOff>
      <xdr:row>75</xdr:row>
      <xdr:rowOff>105006</xdr:rowOff>
    </xdr:from>
    <xdr:to>
      <xdr:col>1</xdr:col>
      <xdr:colOff>319499</xdr:colOff>
      <xdr:row>76</xdr:row>
      <xdr:rowOff>135606</xdr:rowOff>
    </xdr:to>
    <xdr:sp macro="" textlink="H30">
      <xdr:nvSpPr>
        <xdr:cNvPr id="16" name="Text Box 26">
          <a:extLst>
            <a:ext uri="{FF2B5EF4-FFF2-40B4-BE49-F238E27FC236}">
              <a16:creationId xmlns:a16="http://schemas.microsoft.com/office/drawing/2014/main" id="{873898F5-672F-4B8D-A7CE-B6E7DA950DBB}"/>
            </a:ext>
          </a:extLst>
        </xdr:cNvPr>
        <xdr:cNvSpPr txBox="1">
          <a:spLocks noChangeArrowheads="1" noTextEdit="1"/>
        </xdr:cNvSpPr>
      </xdr:nvSpPr>
      <xdr:spPr bwMode="auto">
        <a:xfrm>
          <a:off x="838463" y="12903142"/>
          <a:ext cx="364263" cy="198009"/>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32004" rIns="27432" bIns="32004" anchor="ctr" upright="1"/>
        <a:lstStyle/>
        <a:p>
          <a:pPr algn="ctr" rtl="0">
            <a:defRPr sz="1000"/>
          </a:pPr>
          <a:fld id="{EFC18A25-DFA7-469E-A3E0-974E37ECBEAA}" type="TxLink">
            <a:rPr lang="en-US" sz="1000" b="1" i="0" u="none" strike="noStrike" baseline="0">
              <a:solidFill>
                <a:srgbClr val="000000"/>
              </a:solidFill>
              <a:latin typeface="Arial Narrow"/>
              <a:cs typeface="Arial"/>
            </a:rPr>
            <a:pPr algn="ctr" rtl="0">
              <a:defRPr sz="1000"/>
            </a:pPr>
            <a:t>13.0</a:t>
          </a:fld>
          <a:endParaRPr lang="en-US" sz="1000" b="1" i="0" u="none" strike="noStrike" baseline="0">
            <a:solidFill>
              <a:srgbClr val="000000"/>
            </a:solidFill>
            <a:latin typeface="Arial Narrow"/>
          </a:endParaRPr>
        </a:p>
      </xdr:txBody>
    </xdr:sp>
    <xdr:clientData/>
  </xdr:twoCellAnchor>
  <xdr:twoCellAnchor>
    <xdr:from>
      <xdr:col>5</xdr:col>
      <xdr:colOff>762624</xdr:colOff>
      <xdr:row>75</xdr:row>
      <xdr:rowOff>13335</xdr:rowOff>
    </xdr:from>
    <xdr:to>
      <xdr:col>6</xdr:col>
      <xdr:colOff>91539</xdr:colOff>
      <xdr:row>75</xdr:row>
      <xdr:rowOff>157195</xdr:rowOff>
    </xdr:to>
    <xdr:sp macro="" textlink="C22">
      <xdr:nvSpPr>
        <xdr:cNvPr id="17" name="Text Box 27">
          <a:extLst>
            <a:ext uri="{FF2B5EF4-FFF2-40B4-BE49-F238E27FC236}">
              <a16:creationId xmlns:a16="http://schemas.microsoft.com/office/drawing/2014/main" id="{FF322DF1-3CF5-4932-9801-A2B59B00491D}"/>
            </a:ext>
          </a:extLst>
        </xdr:cNvPr>
        <xdr:cNvSpPr txBox="1">
          <a:spLocks noChangeArrowheads="1" noTextEdit="1"/>
        </xdr:cNvSpPr>
      </xdr:nvSpPr>
      <xdr:spPr bwMode="auto">
        <a:xfrm>
          <a:off x="5245724" y="12656185"/>
          <a:ext cx="211565" cy="14386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27432" tIns="22860" rIns="27432" bIns="22860" anchor="ctr" upright="1"/>
        <a:lstStyle/>
        <a:p>
          <a:pPr algn="ctr" rtl="0">
            <a:defRPr sz="1000"/>
          </a:pPr>
          <a:fld id="{540A983D-8CE3-4329-8224-E5DC6853EB63}" type="TxLink">
            <a:rPr lang="en-US" sz="800" b="1" i="0" u="none" strike="noStrike" baseline="0">
              <a:solidFill>
                <a:srgbClr val="008000"/>
              </a:solidFill>
              <a:latin typeface="Arial Narrow"/>
              <a:cs typeface="Arial"/>
            </a:rPr>
            <a:pPr algn="ctr" rtl="0">
              <a:defRPr sz="1000"/>
            </a:pPr>
            <a:t>2</a:t>
          </a:fld>
          <a:endParaRPr lang="en-US" sz="800" b="1" i="0" u="none" strike="noStrike" baseline="0">
            <a:solidFill>
              <a:srgbClr val="008000"/>
            </a:solidFill>
            <a:latin typeface="Arial Narrow"/>
          </a:endParaRPr>
        </a:p>
      </xdr:txBody>
    </xdr:sp>
    <xdr:clientData/>
  </xdr:twoCellAnchor>
  <xdr:twoCellAnchor>
    <xdr:from>
      <xdr:col>7</xdr:col>
      <xdr:colOff>98137</xdr:colOff>
      <xdr:row>57</xdr:row>
      <xdr:rowOff>92363</xdr:rowOff>
    </xdr:from>
    <xdr:to>
      <xdr:col>7</xdr:col>
      <xdr:colOff>242455</xdr:colOff>
      <xdr:row>58</xdr:row>
      <xdr:rowOff>103909</xdr:rowOff>
    </xdr:to>
    <xdr:sp macro="" textlink="">
      <xdr:nvSpPr>
        <xdr:cNvPr id="2" name="Rectangle 1">
          <a:extLst>
            <a:ext uri="{FF2B5EF4-FFF2-40B4-BE49-F238E27FC236}">
              <a16:creationId xmlns:a16="http://schemas.microsoft.com/office/drawing/2014/main" id="{B6B478B0-3F4C-B69F-5AFC-19EF48B7AFE8}"/>
            </a:ext>
          </a:extLst>
        </xdr:cNvPr>
        <xdr:cNvSpPr/>
      </xdr:nvSpPr>
      <xdr:spPr>
        <a:xfrm>
          <a:off x="7117773" y="9877136"/>
          <a:ext cx="144318" cy="17895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43</xdr:row>
          <xdr:rowOff>33869</xdr:rowOff>
        </xdr:from>
        <xdr:to>
          <xdr:col>9</xdr:col>
          <xdr:colOff>38100</xdr:colOff>
          <xdr:row>86</xdr:row>
          <xdr:rowOff>38100</xdr:rowOff>
        </xdr:to>
        <xdr:pic>
          <xdr:nvPicPr>
            <xdr:cNvPr id="19" name="Picture 18">
              <a:extLst>
                <a:ext uri="{FF2B5EF4-FFF2-40B4-BE49-F238E27FC236}">
                  <a16:creationId xmlns:a16="http://schemas.microsoft.com/office/drawing/2014/main" id="{E49B29D2-B402-C6C5-FFB2-6DADDFCE10F5}"/>
                </a:ext>
              </a:extLst>
            </xdr:cNvPr>
            <xdr:cNvPicPr>
              <a:picLocks noChangeAspect="1" noChangeArrowheads="1"/>
              <a:extLst>
                <a:ext uri="{84589F7E-364E-4C9E-8A38-B11213B215E9}">
                  <a14:cameraTool cellRange="$F$3" spid="_x0000_s1139"/>
                </a:ext>
              </a:extLst>
            </xdr:cNvPicPr>
          </xdr:nvPicPr>
          <xdr:blipFill rotWithShape="1">
            <a:blip xmlns:r="http://schemas.openxmlformats.org/officeDocument/2006/relationships" r:embed="rId3"/>
            <a:srcRect l="13045" t="3620" r="2143" b="3894"/>
            <a:stretch>
              <a:fillRect/>
            </a:stretch>
          </xdr:blipFill>
          <xdr:spPr bwMode="auto">
            <a:xfrm>
              <a:off x="0" y="7437969"/>
              <a:ext cx="8699500" cy="716703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xdr:col>
      <xdr:colOff>0</xdr:colOff>
      <xdr:row>5</xdr:row>
      <xdr:rowOff>51957</xdr:rowOff>
    </xdr:from>
    <xdr:to>
      <xdr:col>6</xdr:col>
      <xdr:colOff>856112</xdr:colOff>
      <xdr:row>11</xdr:row>
      <xdr:rowOff>83614</xdr:rowOff>
    </xdr:to>
    <xdr:pic>
      <xdr:nvPicPr>
        <xdr:cNvPr id="23" name="Picture 22">
          <a:extLst>
            <a:ext uri="{FF2B5EF4-FFF2-40B4-BE49-F238E27FC236}">
              <a16:creationId xmlns:a16="http://schemas.microsoft.com/office/drawing/2014/main" id="{DC412514-E6C2-471E-BC6A-43F8DFA1B6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5409" y="1021775"/>
          <a:ext cx="1739339" cy="1036112"/>
        </a:xfrm>
        <a:prstGeom prst="rect">
          <a:avLst/>
        </a:prstGeom>
      </xdr:spPr>
    </xdr:pic>
    <xdr:clientData/>
  </xdr:twoCellAnchor>
  <xdr:twoCellAnchor editAs="oneCell">
    <xdr:from>
      <xdr:col>6</xdr:col>
      <xdr:colOff>1539021</xdr:colOff>
      <xdr:row>5</xdr:row>
      <xdr:rowOff>55654</xdr:rowOff>
    </xdr:from>
    <xdr:to>
      <xdr:col>8</xdr:col>
      <xdr:colOff>809404</xdr:colOff>
      <xdr:row>11</xdr:row>
      <xdr:rowOff>80961</xdr:rowOff>
    </xdr:to>
    <xdr:pic>
      <xdr:nvPicPr>
        <xdr:cNvPr id="24" name="Picture 23">
          <a:extLst>
            <a:ext uri="{FF2B5EF4-FFF2-40B4-BE49-F238E27FC236}">
              <a16:creationId xmlns:a16="http://schemas.microsoft.com/office/drawing/2014/main" id="{4285A6A2-F1FA-4262-A724-1C08C95FB4A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07657" y="1025472"/>
          <a:ext cx="1735338" cy="1029762"/>
        </a:xfrm>
        <a:prstGeom prst="rect">
          <a:avLst/>
        </a:prstGeom>
      </xdr:spPr>
    </xdr:pic>
    <xdr:clientData/>
  </xdr:twoCellAnchor>
  <xdr:twoCellAnchor editAs="oneCell">
    <xdr:from>
      <xdr:col>6</xdr:col>
      <xdr:colOff>392546</xdr:colOff>
      <xdr:row>2</xdr:row>
      <xdr:rowOff>23090</xdr:rowOff>
    </xdr:from>
    <xdr:to>
      <xdr:col>7</xdr:col>
      <xdr:colOff>205163</xdr:colOff>
      <xdr:row>4</xdr:row>
      <xdr:rowOff>137837</xdr:rowOff>
    </xdr:to>
    <xdr:pic>
      <xdr:nvPicPr>
        <xdr:cNvPr id="18" name="Picture 17">
          <a:extLst>
            <a:ext uri="{FF2B5EF4-FFF2-40B4-BE49-F238E27FC236}">
              <a16:creationId xmlns:a16="http://schemas.microsoft.com/office/drawing/2014/main" id="{D135DBA2-AB14-455B-88DD-72E26D77F7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761182" y="467590"/>
          <a:ext cx="1463617" cy="449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401003</xdr:colOff>
      <xdr:row>3</xdr:row>
      <xdr:rowOff>91440</xdr:rowOff>
    </xdr:from>
    <xdr:to>
      <xdr:col>15</xdr:col>
      <xdr:colOff>613082</xdr:colOff>
      <xdr:row>6</xdr:row>
      <xdr:rowOff>114024</xdr:rowOff>
    </xdr:to>
    <xdr:sp macro="" textlink="" fLocksText="0">
      <xdr:nvSpPr>
        <xdr:cNvPr id="2" name="Text 1">
          <a:extLst>
            <a:ext uri="{FF2B5EF4-FFF2-40B4-BE49-F238E27FC236}">
              <a16:creationId xmlns:a16="http://schemas.microsoft.com/office/drawing/2014/main" id="{A929DF7F-778A-4473-AB5B-05BB92B99E96}"/>
            </a:ext>
          </a:extLst>
        </xdr:cNvPr>
        <xdr:cNvSpPr txBox="1">
          <a:spLocks noChangeArrowheads="1"/>
        </xdr:cNvSpPr>
      </xdr:nvSpPr>
      <xdr:spPr bwMode="auto">
        <a:xfrm>
          <a:off x="7093903" y="726440"/>
          <a:ext cx="3158479" cy="5305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000000"/>
          </a:outerShdw>
        </a:effectLst>
      </xdr:spPr>
      <xdr:txBody>
        <a:bodyPr vertOverflow="clip" wrap="square" lIns="36576" tIns="27432" rIns="36576" bIns="0" anchor="t" upright="1"/>
        <a:lstStyle/>
        <a:p>
          <a:pPr algn="l" rtl="0">
            <a:defRPr sz="1000"/>
          </a:pPr>
          <a:r>
            <a:rPr lang="en-US" sz="900" b="1" i="0" u="none" strike="noStrike" baseline="0">
              <a:solidFill>
                <a:srgbClr val="000000"/>
              </a:solidFill>
              <a:latin typeface="Arial"/>
              <a:cs typeface="Arial"/>
            </a:rPr>
            <a:t>***ENTER PROJECT INFO HERE***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12700</xdr:colOff>
      <xdr:row>0</xdr:row>
      <xdr:rowOff>0</xdr:rowOff>
    </xdr:from>
    <xdr:to>
      <xdr:col>16</xdr:col>
      <xdr:colOff>532249</xdr:colOff>
      <xdr:row>47</xdr:row>
      <xdr:rowOff>50800</xdr:rowOff>
    </xdr:to>
    <xdr:pic>
      <xdr:nvPicPr>
        <xdr:cNvPr id="6" name="Picture 5">
          <a:extLst>
            <a:ext uri="{FF2B5EF4-FFF2-40B4-BE49-F238E27FC236}">
              <a16:creationId xmlns:a16="http://schemas.microsoft.com/office/drawing/2014/main" id="{BF1AE813-D198-8735-0AF6-DBA7AEB450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03950" y="0"/>
          <a:ext cx="6005949" cy="7772400"/>
        </a:xfrm>
        <a:prstGeom prst="rect">
          <a:avLst/>
        </a:prstGeom>
      </xdr:spPr>
    </xdr:pic>
    <xdr:clientData/>
  </xdr:twoCellAnchor>
  <xdr:twoCellAnchor editAs="oneCell">
    <xdr:from>
      <xdr:col>10</xdr:col>
      <xdr:colOff>406400</xdr:colOff>
      <xdr:row>0</xdr:row>
      <xdr:rowOff>266699</xdr:rowOff>
    </xdr:from>
    <xdr:to>
      <xdr:col>13</xdr:col>
      <xdr:colOff>132080</xdr:colOff>
      <xdr:row>3</xdr:row>
      <xdr:rowOff>60229</xdr:rowOff>
    </xdr:to>
    <xdr:pic>
      <xdr:nvPicPr>
        <xdr:cNvPr id="4" name="Picture 3">
          <a:extLst>
            <a:ext uri="{FF2B5EF4-FFF2-40B4-BE49-F238E27FC236}">
              <a16:creationId xmlns:a16="http://schemas.microsoft.com/office/drawing/2014/main" id="{31BD2666-0196-252E-A818-3837DA64E3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26450" y="266699"/>
          <a:ext cx="1554480" cy="4158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526142</xdr:colOff>
      <xdr:row>15</xdr:row>
      <xdr:rowOff>18145</xdr:rowOff>
    </xdr:from>
    <xdr:to>
      <xdr:col>12</xdr:col>
      <xdr:colOff>527230</xdr:colOff>
      <xdr:row>38</xdr:row>
      <xdr:rowOff>26280</xdr:rowOff>
    </xdr:to>
    <xdr:pic>
      <xdr:nvPicPr>
        <xdr:cNvPr id="2" name="Picture 1">
          <a:extLst>
            <a:ext uri="{FF2B5EF4-FFF2-40B4-BE49-F238E27FC236}">
              <a16:creationId xmlns:a16="http://schemas.microsoft.com/office/drawing/2014/main" id="{F29E6DD4-C8C1-45EE-A213-B82908152FF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820" t="12816" r="4700" b="43022"/>
        <a:stretch/>
      </xdr:blipFill>
      <xdr:spPr>
        <a:xfrm>
          <a:off x="7098392" y="3040745"/>
          <a:ext cx="5843088" cy="4014985"/>
        </a:xfrm>
        <a:prstGeom prst="rect">
          <a:avLst/>
        </a:prstGeom>
      </xdr:spPr>
    </xdr:pic>
    <xdr:clientData/>
  </xdr:twoCellAnchor>
  <xdr:twoCellAnchor editAs="oneCell">
    <xdr:from>
      <xdr:col>0</xdr:col>
      <xdr:colOff>2371535</xdr:colOff>
      <xdr:row>0</xdr:row>
      <xdr:rowOff>12960</xdr:rowOff>
    </xdr:from>
    <xdr:to>
      <xdr:col>2</xdr:col>
      <xdr:colOff>163553</xdr:colOff>
      <xdr:row>0</xdr:row>
      <xdr:rowOff>503689</xdr:rowOff>
    </xdr:to>
    <xdr:pic>
      <xdr:nvPicPr>
        <xdr:cNvPr id="5" name="Picture 4">
          <a:extLst>
            <a:ext uri="{FF2B5EF4-FFF2-40B4-BE49-F238E27FC236}">
              <a16:creationId xmlns:a16="http://schemas.microsoft.com/office/drawing/2014/main" id="{F50D2B72-146B-4DA9-BF7E-CD1613EF4E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1535" y="12960"/>
          <a:ext cx="1828804" cy="490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27</xdr:row>
      <xdr:rowOff>0</xdr:rowOff>
    </xdr:from>
    <xdr:to>
      <xdr:col>2</xdr:col>
      <xdr:colOff>336550</xdr:colOff>
      <xdr:row>36</xdr:row>
      <xdr:rowOff>6350</xdr:rowOff>
    </xdr:to>
    <xdr:pic>
      <xdr:nvPicPr>
        <xdr:cNvPr id="2" name="Picture 1">
          <a:extLst>
            <a:ext uri="{FF2B5EF4-FFF2-40B4-BE49-F238E27FC236}">
              <a16:creationId xmlns:a16="http://schemas.microsoft.com/office/drawing/2014/main" id="{F9833132-9464-435C-94B3-E785B3CFC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5480050"/>
          <a:ext cx="3111500" cy="16637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1162050</xdr:colOff>
      <xdr:row>22</xdr:row>
      <xdr:rowOff>139700</xdr:rowOff>
    </xdr:from>
    <xdr:to>
      <xdr:col>3</xdr:col>
      <xdr:colOff>615950</xdr:colOff>
      <xdr:row>25</xdr:row>
      <xdr:rowOff>146050</xdr:rowOff>
    </xdr:to>
    <xdr:pic>
      <xdr:nvPicPr>
        <xdr:cNvPr id="3" name="Picture 2">
          <a:extLst>
            <a:ext uri="{FF2B5EF4-FFF2-40B4-BE49-F238E27FC236}">
              <a16:creationId xmlns:a16="http://schemas.microsoft.com/office/drawing/2014/main" id="{CC8731C3-DA7A-499C-8D29-BA2DC6026D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7050" y="4699000"/>
          <a:ext cx="2546350" cy="5588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304800</xdr:colOff>
      <xdr:row>38</xdr:row>
      <xdr:rowOff>63500</xdr:rowOff>
    </xdr:from>
    <xdr:to>
      <xdr:col>6</xdr:col>
      <xdr:colOff>266700</xdr:colOff>
      <xdr:row>45</xdr:row>
      <xdr:rowOff>6350</xdr:rowOff>
    </xdr:to>
    <xdr:pic>
      <xdr:nvPicPr>
        <xdr:cNvPr id="4" name="Picture 3">
          <a:extLst>
            <a:ext uri="{FF2B5EF4-FFF2-40B4-BE49-F238E27FC236}">
              <a16:creationId xmlns:a16="http://schemas.microsoft.com/office/drawing/2014/main" id="{EA3692F7-28E6-4D61-80CF-F859E57076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9800" y="7569200"/>
          <a:ext cx="4959350" cy="12319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285750</xdr:colOff>
      <xdr:row>27</xdr:row>
      <xdr:rowOff>6350</xdr:rowOff>
    </xdr:from>
    <xdr:to>
      <xdr:col>6</xdr:col>
      <xdr:colOff>488950</xdr:colOff>
      <xdr:row>36</xdr:row>
      <xdr:rowOff>6350</xdr:rowOff>
    </xdr:to>
    <xdr:pic>
      <xdr:nvPicPr>
        <xdr:cNvPr id="5" name="Picture 4">
          <a:extLst>
            <a:ext uri="{FF2B5EF4-FFF2-40B4-BE49-F238E27FC236}">
              <a16:creationId xmlns:a16="http://schemas.microsoft.com/office/drawing/2014/main" id="{DD28E2B8-9AA1-432D-9506-B8912101751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86100" y="5486400"/>
          <a:ext cx="3035300" cy="16573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1593850</xdr:colOff>
      <xdr:row>0</xdr:row>
      <xdr:rowOff>12700</xdr:rowOff>
    </xdr:from>
    <xdr:to>
      <xdr:col>3</xdr:col>
      <xdr:colOff>330204</xdr:colOff>
      <xdr:row>0</xdr:row>
      <xdr:rowOff>503429</xdr:rowOff>
    </xdr:to>
    <xdr:pic>
      <xdr:nvPicPr>
        <xdr:cNvPr id="7" name="Picture 6">
          <a:extLst>
            <a:ext uri="{FF2B5EF4-FFF2-40B4-BE49-F238E27FC236}">
              <a16:creationId xmlns:a16="http://schemas.microsoft.com/office/drawing/2014/main" id="{16678BF2-A2C1-40B2-9987-B0ABE3003E6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28850" y="12700"/>
          <a:ext cx="1828804" cy="490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22</xdr:row>
      <xdr:rowOff>88900</xdr:rowOff>
    </xdr:from>
    <xdr:to>
      <xdr:col>1</xdr:col>
      <xdr:colOff>2362200</xdr:colOff>
      <xdr:row>27</xdr:row>
      <xdr:rowOff>107950</xdr:rowOff>
    </xdr:to>
    <xdr:pic>
      <xdr:nvPicPr>
        <xdr:cNvPr id="2" name="Picture 1">
          <a:extLst>
            <a:ext uri="{FF2B5EF4-FFF2-40B4-BE49-F238E27FC236}">
              <a16:creationId xmlns:a16="http://schemas.microsoft.com/office/drawing/2014/main" id="{751652FD-044F-4CFE-9F54-6746665ECF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6600" y="4483100"/>
          <a:ext cx="2228850" cy="8255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2787650</xdr:colOff>
      <xdr:row>22</xdr:row>
      <xdr:rowOff>95250</xdr:rowOff>
    </xdr:from>
    <xdr:to>
      <xdr:col>4</xdr:col>
      <xdr:colOff>57150</xdr:colOff>
      <xdr:row>26</xdr:row>
      <xdr:rowOff>114300</xdr:rowOff>
    </xdr:to>
    <xdr:pic>
      <xdr:nvPicPr>
        <xdr:cNvPr id="3" name="Picture 2">
          <a:extLst>
            <a:ext uri="{FF2B5EF4-FFF2-40B4-BE49-F238E27FC236}">
              <a16:creationId xmlns:a16="http://schemas.microsoft.com/office/drawing/2014/main" id="{EE7C57B3-004E-477C-8EAA-7104C56F4C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90900" y="4489450"/>
          <a:ext cx="1720850" cy="6667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533400</xdr:colOff>
      <xdr:row>28</xdr:row>
      <xdr:rowOff>69851</xdr:rowOff>
    </xdr:from>
    <xdr:to>
      <xdr:col>4</xdr:col>
      <xdr:colOff>105410</xdr:colOff>
      <xdr:row>47</xdr:row>
      <xdr:rowOff>76680</xdr:rowOff>
    </xdr:to>
    <xdr:pic>
      <xdr:nvPicPr>
        <xdr:cNvPr id="4" name="Picture 3">
          <a:extLst>
            <a:ext uri="{FF2B5EF4-FFF2-40B4-BE49-F238E27FC236}">
              <a16:creationId xmlns:a16="http://schemas.microsoft.com/office/drawing/2014/main" id="{52D7C801-BFE3-404B-B877-6B6788722CB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36650" y="5429251"/>
          <a:ext cx="4023360" cy="302307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1619250</xdr:colOff>
      <xdr:row>0</xdr:row>
      <xdr:rowOff>12700</xdr:rowOff>
    </xdr:from>
    <xdr:to>
      <xdr:col>2</xdr:col>
      <xdr:colOff>527054</xdr:colOff>
      <xdr:row>0</xdr:row>
      <xdr:rowOff>503429</xdr:rowOff>
    </xdr:to>
    <xdr:pic>
      <xdr:nvPicPr>
        <xdr:cNvPr id="6" name="Picture 5">
          <a:extLst>
            <a:ext uri="{FF2B5EF4-FFF2-40B4-BE49-F238E27FC236}">
              <a16:creationId xmlns:a16="http://schemas.microsoft.com/office/drawing/2014/main" id="{B0EDA5DA-2CF5-4C1D-934F-7C25A35DBF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22500" y="12700"/>
          <a:ext cx="1828804" cy="4907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D37D-3FB9-48FA-8C63-5EA4B444C111}">
  <dimension ref="A1:I29"/>
  <sheetViews>
    <sheetView tabSelected="1" workbookViewId="0">
      <selection sqref="A1:I2"/>
    </sheetView>
  </sheetViews>
  <sheetFormatPr defaultRowHeight="12.5" x14ac:dyDescent="0.25"/>
  <cols>
    <col min="1" max="9" width="9.08984375" style="188" customWidth="1"/>
    <col min="10" max="256" width="8.7265625" style="188"/>
    <col min="257" max="265" width="9.08984375" style="188" customWidth="1"/>
    <col min="266" max="512" width="8.7265625" style="188"/>
    <col min="513" max="521" width="9.08984375" style="188" customWidth="1"/>
    <col min="522" max="768" width="8.7265625" style="188"/>
    <col min="769" max="777" width="9.08984375" style="188" customWidth="1"/>
    <col min="778" max="1024" width="8.7265625" style="188"/>
    <col min="1025" max="1033" width="9.08984375" style="188" customWidth="1"/>
    <col min="1034" max="1280" width="8.7265625" style="188"/>
    <col min="1281" max="1289" width="9.08984375" style="188" customWidth="1"/>
    <col min="1290" max="1536" width="8.7265625" style="188"/>
    <col min="1537" max="1545" width="9.08984375" style="188" customWidth="1"/>
    <col min="1546" max="1792" width="8.7265625" style="188"/>
    <col min="1793" max="1801" width="9.08984375" style="188" customWidth="1"/>
    <col min="1802" max="2048" width="8.7265625" style="188"/>
    <col min="2049" max="2057" width="9.08984375" style="188" customWidth="1"/>
    <col min="2058" max="2304" width="8.7265625" style="188"/>
    <col min="2305" max="2313" width="9.08984375" style="188" customWidth="1"/>
    <col min="2314" max="2560" width="8.7265625" style="188"/>
    <col min="2561" max="2569" width="9.08984375" style="188" customWidth="1"/>
    <col min="2570" max="2816" width="8.7265625" style="188"/>
    <col min="2817" max="2825" width="9.08984375" style="188" customWidth="1"/>
    <col min="2826" max="3072" width="8.7265625" style="188"/>
    <col min="3073" max="3081" width="9.08984375" style="188" customWidth="1"/>
    <col min="3082" max="3328" width="8.7265625" style="188"/>
    <col min="3329" max="3337" width="9.08984375" style="188" customWidth="1"/>
    <col min="3338" max="3584" width="8.7265625" style="188"/>
    <col min="3585" max="3593" width="9.08984375" style="188" customWidth="1"/>
    <col min="3594" max="3840" width="8.7265625" style="188"/>
    <col min="3841" max="3849" width="9.08984375" style="188" customWidth="1"/>
    <col min="3850" max="4096" width="8.7265625" style="188"/>
    <col min="4097" max="4105" width="9.08984375" style="188" customWidth="1"/>
    <col min="4106" max="4352" width="8.7265625" style="188"/>
    <col min="4353" max="4361" width="9.08984375" style="188" customWidth="1"/>
    <col min="4362" max="4608" width="8.7265625" style="188"/>
    <col min="4609" max="4617" width="9.08984375" style="188" customWidth="1"/>
    <col min="4618" max="4864" width="8.7265625" style="188"/>
    <col min="4865" max="4873" width="9.08984375" style="188" customWidth="1"/>
    <col min="4874" max="5120" width="8.7265625" style="188"/>
    <col min="5121" max="5129" width="9.08984375" style="188" customWidth="1"/>
    <col min="5130" max="5376" width="8.7265625" style="188"/>
    <col min="5377" max="5385" width="9.08984375" style="188" customWidth="1"/>
    <col min="5386" max="5632" width="8.7265625" style="188"/>
    <col min="5633" max="5641" width="9.08984375" style="188" customWidth="1"/>
    <col min="5642" max="5888" width="8.7265625" style="188"/>
    <col min="5889" max="5897" width="9.08984375" style="188" customWidth="1"/>
    <col min="5898" max="6144" width="8.7265625" style="188"/>
    <col min="6145" max="6153" width="9.08984375" style="188" customWidth="1"/>
    <col min="6154" max="6400" width="8.7265625" style="188"/>
    <col min="6401" max="6409" width="9.08984375" style="188" customWidth="1"/>
    <col min="6410" max="6656" width="8.7265625" style="188"/>
    <col min="6657" max="6665" width="9.08984375" style="188" customWidth="1"/>
    <col min="6666" max="6912" width="8.7265625" style="188"/>
    <col min="6913" max="6921" width="9.08984375" style="188" customWidth="1"/>
    <col min="6922" max="7168" width="8.7265625" style="188"/>
    <col min="7169" max="7177" width="9.08984375" style="188" customWidth="1"/>
    <col min="7178" max="7424" width="8.7265625" style="188"/>
    <col min="7425" max="7433" width="9.08984375" style="188" customWidth="1"/>
    <col min="7434" max="7680" width="8.7265625" style="188"/>
    <col min="7681" max="7689" width="9.08984375" style="188" customWidth="1"/>
    <col min="7690" max="7936" width="8.7265625" style="188"/>
    <col min="7937" max="7945" width="9.08984375" style="188" customWidth="1"/>
    <col min="7946" max="8192" width="8.7265625" style="188"/>
    <col min="8193" max="8201" width="9.08984375" style="188" customWidth="1"/>
    <col min="8202" max="8448" width="8.7265625" style="188"/>
    <col min="8449" max="8457" width="9.08984375" style="188" customWidth="1"/>
    <col min="8458" max="8704" width="8.7265625" style="188"/>
    <col min="8705" max="8713" width="9.08984375" style="188" customWidth="1"/>
    <col min="8714" max="8960" width="8.7265625" style="188"/>
    <col min="8961" max="8969" width="9.08984375" style="188" customWidth="1"/>
    <col min="8970" max="9216" width="8.7265625" style="188"/>
    <col min="9217" max="9225" width="9.08984375" style="188" customWidth="1"/>
    <col min="9226" max="9472" width="8.7265625" style="188"/>
    <col min="9473" max="9481" width="9.08984375" style="188" customWidth="1"/>
    <col min="9482" max="9728" width="8.7265625" style="188"/>
    <col min="9729" max="9737" width="9.08984375" style="188" customWidth="1"/>
    <col min="9738" max="9984" width="8.7265625" style="188"/>
    <col min="9985" max="9993" width="9.08984375" style="188" customWidth="1"/>
    <col min="9994" max="10240" width="8.7265625" style="188"/>
    <col min="10241" max="10249" width="9.08984375" style="188" customWidth="1"/>
    <col min="10250" max="10496" width="8.7265625" style="188"/>
    <col min="10497" max="10505" width="9.08984375" style="188" customWidth="1"/>
    <col min="10506" max="10752" width="8.7265625" style="188"/>
    <col min="10753" max="10761" width="9.08984375" style="188" customWidth="1"/>
    <col min="10762" max="11008" width="8.7265625" style="188"/>
    <col min="11009" max="11017" width="9.08984375" style="188" customWidth="1"/>
    <col min="11018" max="11264" width="8.7265625" style="188"/>
    <col min="11265" max="11273" width="9.08984375" style="188" customWidth="1"/>
    <col min="11274" max="11520" width="8.7265625" style="188"/>
    <col min="11521" max="11529" width="9.08984375" style="188" customWidth="1"/>
    <col min="11530" max="11776" width="8.7265625" style="188"/>
    <col min="11777" max="11785" width="9.08984375" style="188" customWidth="1"/>
    <col min="11786" max="12032" width="8.7265625" style="188"/>
    <col min="12033" max="12041" width="9.08984375" style="188" customWidth="1"/>
    <col min="12042" max="12288" width="8.7265625" style="188"/>
    <col min="12289" max="12297" width="9.08984375" style="188" customWidth="1"/>
    <col min="12298" max="12544" width="8.7265625" style="188"/>
    <col min="12545" max="12553" width="9.08984375" style="188" customWidth="1"/>
    <col min="12554" max="12800" width="8.7265625" style="188"/>
    <col min="12801" max="12809" width="9.08984375" style="188" customWidth="1"/>
    <col min="12810" max="13056" width="8.7265625" style="188"/>
    <col min="13057" max="13065" width="9.08984375" style="188" customWidth="1"/>
    <col min="13066" max="13312" width="8.7265625" style="188"/>
    <col min="13313" max="13321" width="9.08984375" style="188" customWidth="1"/>
    <col min="13322" max="13568" width="8.7265625" style="188"/>
    <col min="13569" max="13577" width="9.08984375" style="188" customWidth="1"/>
    <col min="13578" max="13824" width="8.7265625" style="188"/>
    <col min="13825" max="13833" width="9.08984375" style="188" customWidth="1"/>
    <col min="13834" max="14080" width="8.7265625" style="188"/>
    <col min="14081" max="14089" width="9.08984375" style="188" customWidth="1"/>
    <col min="14090" max="14336" width="8.7265625" style="188"/>
    <col min="14337" max="14345" width="9.08984375" style="188" customWidth="1"/>
    <col min="14346" max="14592" width="8.7265625" style="188"/>
    <col min="14593" max="14601" width="9.08984375" style="188" customWidth="1"/>
    <col min="14602" max="14848" width="8.7265625" style="188"/>
    <col min="14849" max="14857" width="9.08984375" style="188" customWidth="1"/>
    <col min="14858" max="15104" width="8.7265625" style="188"/>
    <col min="15105" max="15113" width="9.08984375" style="188" customWidth="1"/>
    <col min="15114" max="15360" width="8.7265625" style="188"/>
    <col min="15361" max="15369" width="9.08984375" style="188" customWidth="1"/>
    <col min="15370" max="15616" width="8.7265625" style="188"/>
    <col min="15617" max="15625" width="9.08984375" style="188" customWidth="1"/>
    <col min="15626" max="15872" width="8.7265625" style="188"/>
    <col min="15873" max="15881" width="9.08984375" style="188" customWidth="1"/>
    <col min="15882" max="16128" width="8.7265625" style="188"/>
    <col min="16129" max="16137" width="9.08984375" style="188" customWidth="1"/>
    <col min="16138" max="16384" width="8.7265625" style="188"/>
  </cols>
  <sheetData>
    <row r="1" spans="1:9" ht="30" customHeight="1" x14ac:dyDescent="0.25">
      <c r="A1" s="378"/>
      <c r="B1" s="378"/>
      <c r="C1" s="378"/>
      <c r="D1" s="378"/>
      <c r="E1" s="378"/>
      <c r="F1" s="378"/>
      <c r="G1" s="378"/>
      <c r="H1" s="378"/>
      <c r="I1" s="378"/>
    </row>
    <row r="2" spans="1:9" x14ac:dyDescent="0.25">
      <c r="A2" s="378"/>
      <c r="B2" s="378"/>
      <c r="C2" s="378"/>
      <c r="D2" s="378"/>
      <c r="E2" s="378"/>
      <c r="F2" s="378"/>
      <c r="G2" s="378"/>
      <c r="H2" s="378"/>
      <c r="I2" s="378"/>
    </row>
    <row r="3" spans="1:9" ht="13" thickBot="1" x14ac:dyDescent="0.3">
      <c r="A3" s="397"/>
      <c r="B3" s="397"/>
      <c r="C3" s="397"/>
      <c r="D3" s="397"/>
      <c r="E3" s="397"/>
      <c r="F3" s="397"/>
      <c r="G3" s="397"/>
      <c r="H3" s="397"/>
      <c r="I3" s="397"/>
    </row>
    <row r="4" spans="1:9" x14ac:dyDescent="0.25">
      <c r="A4" s="379" t="s">
        <v>340</v>
      </c>
      <c r="B4" s="380"/>
      <c r="C4" s="380"/>
      <c r="D4" s="380"/>
      <c r="E4" s="380"/>
      <c r="F4" s="380"/>
      <c r="G4" s="380"/>
      <c r="H4" s="380"/>
      <c r="I4" s="381"/>
    </row>
    <row r="5" spans="1:9" ht="13" thickBot="1" x14ac:dyDescent="0.3">
      <c r="A5" s="382"/>
      <c r="B5" s="383"/>
      <c r="C5" s="383"/>
      <c r="D5" s="383"/>
      <c r="E5" s="383"/>
      <c r="F5" s="383"/>
      <c r="G5" s="383"/>
      <c r="H5" s="383"/>
      <c r="I5" s="384"/>
    </row>
    <row r="6" spans="1:9" x14ac:dyDescent="0.25">
      <c r="A6" s="189"/>
      <c r="B6" s="189"/>
      <c r="C6" s="189"/>
      <c r="D6" s="189"/>
      <c r="E6" s="189"/>
      <c r="F6" s="189"/>
      <c r="G6" s="189"/>
      <c r="H6" s="189"/>
      <c r="I6" s="189"/>
    </row>
    <row r="7" spans="1:9" x14ac:dyDescent="0.25">
      <c r="A7" s="189"/>
      <c r="B7" s="189"/>
      <c r="C7" s="189"/>
      <c r="D7" s="189"/>
      <c r="E7" s="189"/>
      <c r="F7" s="189"/>
      <c r="G7" s="189"/>
      <c r="H7" s="189"/>
      <c r="I7" s="189"/>
    </row>
    <row r="8" spans="1:9" x14ac:dyDescent="0.25">
      <c r="A8" s="189"/>
      <c r="B8" s="189"/>
      <c r="C8" s="189"/>
      <c r="D8" s="189"/>
      <c r="E8" s="189"/>
      <c r="F8" s="189"/>
      <c r="G8" s="189"/>
      <c r="H8" s="189"/>
      <c r="I8" s="189"/>
    </row>
    <row r="9" spans="1:9" x14ac:dyDescent="0.25">
      <c r="A9" s="189"/>
      <c r="B9" s="189"/>
      <c r="C9" s="189"/>
      <c r="D9" s="189"/>
      <c r="E9" s="189"/>
      <c r="F9" s="189"/>
      <c r="G9" s="189"/>
      <c r="H9" s="189"/>
      <c r="I9" s="189"/>
    </row>
    <row r="10" spans="1:9" x14ac:dyDescent="0.25">
      <c r="A10" s="189"/>
      <c r="B10" s="189"/>
      <c r="C10" s="189"/>
      <c r="D10" s="189"/>
      <c r="E10" s="189"/>
      <c r="F10" s="189"/>
      <c r="G10" s="189"/>
      <c r="H10" s="189"/>
      <c r="I10" s="189"/>
    </row>
    <row r="11" spans="1:9" x14ac:dyDescent="0.25">
      <c r="A11" s="189"/>
      <c r="B11" s="189"/>
      <c r="C11" s="189"/>
      <c r="D11" s="189"/>
      <c r="E11" s="189"/>
      <c r="F11" s="189"/>
      <c r="G11" s="189"/>
      <c r="H11" s="189"/>
      <c r="I11" s="189"/>
    </row>
    <row r="12" spans="1:9" x14ac:dyDescent="0.25">
      <c r="A12" s="189"/>
      <c r="B12" s="189"/>
      <c r="C12" s="189"/>
      <c r="D12" s="189"/>
      <c r="E12" s="189"/>
      <c r="F12" s="189"/>
      <c r="G12" s="189"/>
      <c r="H12" s="189"/>
      <c r="I12" s="189"/>
    </row>
    <row r="13" spans="1:9" x14ac:dyDescent="0.25">
      <c r="A13" s="189"/>
      <c r="B13" s="189"/>
      <c r="C13" s="189"/>
      <c r="D13" s="189"/>
      <c r="E13" s="189"/>
      <c r="F13" s="189"/>
      <c r="G13" s="189"/>
      <c r="H13" s="189"/>
      <c r="I13" s="189"/>
    </row>
    <row r="14" spans="1:9" x14ac:dyDescent="0.25">
      <c r="A14" s="189"/>
      <c r="B14" s="189"/>
      <c r="C14" s="189"/>
      <c r="D14" s="189"/>
      <c r="E14" s="189"/>
      <c r="F14" s="189"/>
      <c r="G14" s="189"/>
      <c r="H14" s="189"/>
      <c r="I14" s="189"/>
    </row>
    <row r="15" spans="1:9" x14ac:dyDescent="0.25">
      <c r="A15" s="189"/>
      <c r="B15" s="189"/>
      <c r="C15" s="189"/>
      <c r="D15" s="189"/>
      <c r="E15" s="189"/>
      <c r="F15" s="189"/>
      <c r="G15" s="189"/>
      <c r="H15" s="189"/>
      <c r="I15" s="189"/>
    </row>
    <row r="16" spans="1:9" ht="18" x14ac:dyDescent="0.4">
      <c r="A16" s="385" t="s">
        <v>167</v>
      </c>
      <c r="B16" s="386"/>
      <c r="C16" s="386"/>
      <c r="D16" s="386"/>
      <c r="E16" s="386"/>
      <c r="F16" s="386"/>
      <c r="G16" s="386"/>
      <c r="H16" s="386"/>
      <c r="I16" s="387"/>
    </row>
    <row r="17" spans="1:9" ht="15.5" x14ac:dyDescent="0.35">
      <c r="A17" s="388" t="s">
        <v>168</v>
      </c>
      <c r="B17" s="389"/>
      <c r="C17" s="390"/>
      <c r="D17" s="390"/>
      <c r="E17" s="390"/>
      <c r="F17" s="390"/>
      <c r="G17" s="390"/>
      <c r="H17" s="390"/>
      <c r="I17" s="391"/>
    </row>
    <row r="18" spans="1:9" ht="15.5" x14ac:dyDescent="0.35">
      <c r="A18" s="398">
        <v>1</v>
      </c>
      <c r="B18" s="390"/>
      <c r="C18" s="399" t="s">
        <v>342</v>
      </c>
      <c r="D18" s="399"/>
      <c r="E18" s="399"/>
      <c r="F18" s="399"/>
      <c r="G18" s="399"/>
      <c r="H18" s="399"/>
      <c r="I18" s="400"/>
    </row>
    <row r="19" spans="1:9" ht="15.5" x14ac:dyDescent="0.35">
      <c r="A19" s="398">
        <v>2</v>
      </c>
      <c r="B19" s="390"/>
      <c r="C19" s="399" t="s">
        <v>343</v>
      </c>
      <c r="D19" s="399"/>
      <c r="E19" s="399"/>
      <c r="F19" s="399"/>
      <c r="G19" s="399"/>
      <c r="H19" s="399"/>
      <c r="I19" s="400"/>
    </row>
    <row r="20" spans="1:9" ht="15.5" x14ac:dyDescent="0.35">
      <c r="A20" s="398">
        <v>3</v>
      </c>
      <c r="B20" s="390"/>
      <c r="C20" s="399" t="s">
        <v>172</v>
      </c>
      <c r="D20" s="399"/>
      <c r="E20" s="399"/>
      <c r="F20" s="399"/>
      <c r="G20" s="399"/>
      <c r="H20" s="399"/>
      <c r="I20" s="400"/>
    </row>
    <row r="21" spans="1:9" ht="15.5" x14ac:dyDescent="0.35">
      <c r="A21" s="398">
        <v>4</v>
      </c>
      <c r="B21" s="390"/>
      <c r="C21" s="399" t="s">
        <v>169</v>
      </c>
      <c r="D21" s="399"/>
      <c r="E21" s="399"/>
      <c r="F21" s="399"/>
      <c r="G21" s="399"/>
      <c r="H21" s="399"/>
      <c r="I21" s="400"/>
    </row>
    <row r="22" spans="1:9" ht="15.75" customHeight="1" x14ac:dyDescent="0.25">
      <c r="A22" s="401">
        <v>5</v>
      </c>
      <c r="B22" s="402"/>
      <c r="C22" s="403" t="s">
        <v>170</v>
      </c>
      <c r="D22" s="403"/>
      <c r="E22" s="403"/>
      <c r="F22" s="403"/>
      <c r="G22" s="403"/>
      <c r="H22" s="403"/>
      <c r="I22" s="404"/>
    </row>
    <row r="23" spans="1:9" ht="15.75" customHeight="1" x14ac:dyDescent="0.25">
      <c r="A23" s="401"/>
      <c r="B23" s="402"/>
      <c r="C23" s="403"/>
      <c r="D23" s="403"/>
      <c r="E23" s="403"/>
      <c r="F23" s="403"/>
      <c r="G23" s="403"/>
      <c r="H23" s="403"/>
      <c r="I23" s="404"/>
    </row>
    <row r="24" spans="1:9" ht="15.75" customHeight="1" x14ac:dyDescent="0.25">
      <c r="A24" s="401">
        <v>6</v>
      </c>
      <c r="B24" s="402"/>
      <c r="C24" s="403" t="s">
        <v>171</v>
      </c>
      <c r="D24" s="403"/>
      <c r="E24" s="403"/>
      <c r="F24" s="403"/>
      <c r="G24" s="403"/>
      <c r="H24" s="403"/>
      <c r="I24" s="404"/>
    </row>
    <row r="25" spans="1:9" ht="15.75" customHeight="1" x14ac:dyDescent="0.25">
      <c r="A25" s="401"/>
      <c r="B25" s="402"/>
      <c r="C25" s="403"/>
      <c r="D25" s="403"/>
      <c r="E25" s="403"/>
      <c r="F25" s="403"/>
      <c r="G25" s="403"/>
      <c r="H25" s="403"/>
      <c r="I25" s="404"/>
    </row>
    <row r="26" spans="1:9" ht="15.5" x14ac:dyDescent="0.35">
      <c r="A26" s="392">
        <v>7</v>
      </c>
      <c r="B26" s="393"/>
      <c r="C26" s="394" t="s">
        <v>173</v>
      </c>
      <c r="D26" s="394"/>
      <c r="E26" s="394"/>
      <c r="F26" s="394"/>
      <c r="G26" s="394"/>
      <c r="H26" s="394"/>
      <c r="I26" s="395"/>
    </row>
    <row r="27" spans="1:9" ht="13" x14ac:dyDescent="0.3">
      <c r="A27" s="189"/>
      <c r="G27" s="396" t="s">
        <v>341</v>
      </c>
      <c r="H27" s="396"/>
      <c r="I27" s="396"/>
    </row>
    <row r="28" spans="1:9" x14ac:dyDescent="0.25">
      <c r="A28" s="189"/>
    </row>
    <row r="29" spans="1:9" x14ac:dyDescent="0.25">
      <c r="A29" s="189"/>
    </row>
  </sheetData>
  <sheetProtection algorithmName="SHA-512" hashValue="MfkpdNRppIJ+uiuIrRomlaRbqwjQDPH6F99mh2Zjn5GPSlIb1aW7RrrmaHTwgWBsWyupiXNIgLzrkWUaWkbhAA==" saltValue="Bl8rR2LUiqDdZLZt9A84lg==" spinCount="100000" sheet="1" objects="1" scenarios="1"/>
  <mergeCells count="21">
    <mergeCell ref="A26:B26"/>
    <mergeCell ref="C26:I26"/>
    <mergeCell ref="G27:I27"/>
    <mergeCell ref="A3:I3"/>
    <mergeCell ref="A19:B19"/>
    <mergeCell ref="C19:I19"/>
    <mergeCell ref="A20:B20"/>
    <mergeCell ref="C20:I20"/>
    <mergeCell ref="A21:B21"/>
    <mergeCell ref="C21:I21"/>
    <mergeCell ref="A22:B23"/>
    <mergeCell ref="C22:I23"/>
    <mergeCell ref="A24:B25"/>
    <mergeCell ref="C24:I25"/>
    <mergeCell ref="A18:B18"/>
    <mergeCell ref="C18:I18"/>
    <mergeCell ref="A1:I2"/>
    <mergeCell ref="A4:I5"/>
    <mergeCell ref="A16:I16"/>
    <mergeCell ref="A17:B17"/>
    <mergeCell ref="C17:I17"/>
  </mergeCells>
  <pageMargins left="0.75" right="0.75" top="0.5" bottom="0.5" header="0" footer="0"/>
  <pageSetup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602FE-32FB-4FA4-A428-88DEAAE1DFB9}">
  <sheetPr>
    <pageSetUpPr fitToPage="1"/>
  </sheetPr>
  <dimension ref="A1:V133"/>
  <sheetViews>
    <sheetView zoomScale="110" zoomScaleNormal="110" workbookViewId="0">
      <selection sqref="A1:I1"/>
    </sheetView>
  </sheetViews>
  <sheetFormatPr defaultColWidth="8.81640625" defaultRowHeight="13" x14ac:dyDescent="0.3"/>
  <cols>
    <col min="1" max="1" width="12.6328125" style="12" customWidth="1"/>
    <col min="2" max="2" width="23.6328125" style="84" customWidth="1"/>
    <col min="3" max="3" width="11.6328125" style="12" customWidth="1"/>
    <col min="4" max="4" width="11.6328125" style="106" customWidth="1"/>
    <col min="5" max="5" width="4.6328125" style="84" customWidth="1"/>
    <col min="6" max="6" width="12.6328125" style="84" customWidth="1"/>
    <col min="7" max="7" width="23.6328125" style="84" customWidth="1"/>
    <col min="8" max="8" width="11.6328125" style="12" customWidth="1"/>
    <col min="9" max="9" width="11.6328125" style="84" customWidth="1"/>
    <col min="10" max="10" width="8.81640625" style="84"/>
    <col min="11" max="13" width="10.6328125" style="84" customWidth="1"/>
    <col min="14" max="19" width="8.81640625" style="84"/>
    <col min="20" max="21" width="9.6328125" style="84" customWidth="1"/>
    <col min="22" max="256" width="8.81640625" style="84"/>
    <col min="257" max="257" width="12.6328125" style="84" customWidth="1"/>
    <col min="258" max="258" width="23.6328125" style="84" customWidth="1"/>
    <col min="259" max="260" width="11.6328125" style="84" customWidth="1"/>
    <col min="261" max="261" width="4.6328125" style="84" customWidth="1"/>
    <col min="262" max="262" width="12.6328125" style="84" customWidth="1"/>
    <col min="263" max="263" width="23.6328125" style="84" customWidth="1"/>
    <col min="264" max="265" width="11.6328125" style="84" customWidth="1"/>
    <col min="266" max="266" width="8.81640625" style="84"/>
    <col min="267" max="269" width="10.6328125" style="84" customWidth="1"/>
    <col min="270" max="275" width="8.81640625" style="84"/>
    <col min="276" max="277" width="9.6328125" style="84" customWidth="1"/>
    <col min="278" max="512" width="8.81640625" style="84"/>
    <col min="513" max="513" width="12.6328125" style="84" customWidth="1"/>
    <col min="514" max="514" width="23.6328125" style="84" customWidth="1"/>
    <col min="515" max="516" width="11.6328125" style="84" customWidth="1"/>
    <col min="517" max="517" width="4.6328125" style="84" customWidth="1"/>
    <col min="518" max="518" width="12.6328125" style="84" customWidth="1"/>
    <col min="519" max="519" width="23.6328125" style="84" customWidth="1"/>
    <col min="520" max="521" width="11.6328125" style="84" customWidth="1"/>
    <col min="522" max="522" width="8.81640625" style="84"/>
    <col min="523" max="525" width="10.6328125" style="84" customWidth="1"/>
    <col min="526" max="531" width="8.81640625" style="84"/>
    <col min="532" max="533" width="9.6328125" style="84" customWidth="1"/>
    <col min="534" max="768" width="8.81640625" style="84"/>
    <col min="769" max="769" width="12.6328125" style="84" customWidth="1"/>
    <col min="770" max="770" width="23.6328125" style="84" customWidth="1"/>
    <col min="771" max="772" width="11.6328125" style="84" customWidth="1"/>
    <col min="773" max="773" width="4.6328125" style="84" customWidth="1"/>
    <col min="774" max="774" width="12.6328125" style="84" customWidth="1"/>
    <col min="775" max="775" width="23.6328125" style="84" customWidth="1"/>
    <col min="776" max="777" width="11.6328125" style="84" customWidth="1"/>
    <col min="778" max="778" width="8.81640625" style="84"/>
    <col min="779" max="781" width="10.6328125" style="84" customWidth="1"/>
    <col min="782" max="787" width="8.81640625" style="84"/>
    <col min="788" max="789" width="9.6328125" style="84" customWidth="1"/>
    <col min="790" max="1024" width="8.81640625" style="84"/>
    <col min="1025" max="1025" width="12.6328125" style="84" customWidth="1"/>
    <col min="1026" max="1026" width="23.6328125" style="84" customWidth="1"/>
    <col min="1027" max="1028" width="11.6328125" style="84" customWidth="1"/>
    <col min="1029" max="1029" width="4.6328125" style="84" customWidth="1"/>
    <col min="1030" max="1030" width="12.6328125" style="84" customWidth="1"/>
    <col min="1031" max="1031" width="23.6328125" style="84" customWidth="1"/>
    <col min="1032" max="1033" width="11.6328125" style="84" customWidth="1"/>
    <col min="1034" max="1034" width="8.81640625" style="84"/>
    <col min="1035" max="1037" width="10.6328125" style="84" customWidth="1"/>
    <col min="1038" max="1043" width="8.81640625" style="84"/>
    <col min="1044" max="1045" width="9.6328125" style="84" customWidth="1"/>
    <col min="1046" max="1280" width="8.81640625" style="84"/>
    <col min="1281" max="1281" width="12.6328125" style="84" customWidth="1"/>
    <col min="1282" max="1282" width="23.6328125" style="84" customWidth="1"/>
    <col min="1283" max="1284" width="11.6328125" style="84" customWidth="1"/>
    <col min="1285" max="1285" width="4.6328125" style="84" customWidth="1"/>
    <col min="1286" max="1286" width="12.6328125" style="84" customWidth="1"/>
    <col min="1287" max="1287" width="23.6328125" style="84" customWidth="1"/>
    <col min="1288" max="1289" width="11.6328125" style="84" customWidth="1"/>
    <col min="1290" max="1290" width="8.81640625" style="84"/>
    <col min="1291" max="1293" width="10.6328125" style="84" customWidth="1"/>
    <col min="1294" max="1299" width="8.81640625" style="84"/>
    <col min="1300" max="1301" width="9.6328125" style="84" customWidth="1"/>
    <col min="1302" max="1536" width="8.81640625" style="84"/>
    <col min="1537" max="1537" width="12.6328125" style="84" customWidth="1"/>
    <col min="1538" max="1538" width="23.6328125" style="84" customWidth="1"/>
    <col min="1539" max="1540" width="11.6328125" style="84" customWidth="1"/>
    <col min="1541" max="1541" width="4.6328125" style="84" customWidth="1"/>
    <col min="1542" max="1542" width="12.6328125" style="84" customWidth="1"/>
    <col min="1543" max="1543" width="23.6328125" style="84" customWidth="1"/>
    <col min="1544" max="1545" width="11.6328125" style="84" customWidth="1"/>
    <col min="1546" max="1546" width="8.81640625" style="84"/>
    <col min="1547" max="1549" width="10.6328125" style="84" customWidth="1"/>
    <col min="1550" max="1555" width="8.81640625" style="84"/>
    <col min="1556" max="1557" width="9.6328125" style="84" customWidth="1"/>
    <col min="1558" max="1792" width="8.81640625" style="84"/>
    <col min="1793" max="1793" width="12.6328125" style="84" customWidth="1"/>
    <col min="1794" max="1794" width="23.6328125" style="84" customWidth="1"/>
    <col min="1795" max="1796" width="11.6328125" style="84" customWidth="1"/>
    <col min="1797" max="1797" width="4.6328125" style="84" customWidth="1"/>
    <col min="1798" max="1798" width="12.6328125" style="84" customWidth="1"/>
    <col min="1799" max="1799" width="23.6328125" style="84" customWidth="1"/>
    <col min="1800" max="1801" width="11.6328125" style="84" customWidth="1"/>
    <col min="1802" max="1802" width="8.81640625" style="84"/>
    <col min="1803" max="1805" width="10.6328125" style="84" customWidth="1"/>
    <col min="1806" max="1811" width="8.81640625" style="84"/>
    <col min="1812" max="1813" width="9.6328125" style="84" customWidth="1"/>
    <col min="1814" max="2048" width="8.81640625" style="84"/>
    <col min="2049" max="2049" width="12.6328125" style="84" customWidth="1"/>
    <col min="2050" max="2050" width="23.6328125" style="84" customWidth="1"/>
    <col min="2051" max="2052" width="11.6328125" style="84" customWidth="1"/>
    <col min="2053" max="2053" width="4.6328125" style="84" customWidth="1"/>
    <col min="2054" max="2054" width="12.6328125" style="84" customWidth="1"/>
    <col min="2055" max="2055" width="23.6328125" style="84" customWidth="1"/>
    <col min="2056" max="2057" width="11.6328125" style="84" customWidth="1"/>
    <col min="2058" max="2058" width="8.81640625" style="84"/>
    <col min="2059" max="2061" width="10.6328125" style="84" customWidth="1"/>
    <col min="2062" max="2067" width="8.81640625" style="84"/>
    <col min="2068" max="2069" width="9.6328125" style="84" customWidth="1"/>
    <col min="2070" max="2304" width="8.81640625" style="84"/>
    <col min="2305" max="2305" width="12.6328125" style="84" customWidth="1"/>
    <col min="2306" max="2306" width="23.6328125" style="84" customWidth="1"/>
    <col min="2307" max="2308" width="11.6328125" style="84" customWidth="1"/>
    <col min="2309" max="2309" width="4.6328125" style="84" customWidth="1"/>
    <col min="2310" max="2310" width="12.6328125" style="84" customWidth="1"/>
    <col min="2311" max="2311" width="23.6328125" style="84" customWidth="1"/>
    <col min="2312" max="2313" width="11.6328125" style="84" customWidth="1"/>
    <col min="2314" max="2314" width="8.81640625" style="84"/>
    <col min="2315" max="2317" width="10.6328125" style="84" customWidth="1"/>
    <col min="2318" max="2323" width="8.81640625" style="84"/>
    <col min="2324" max="2325" width="9.6328125" style="84" customWidth="1"/>
    <col min="2326" max="2560" width="8.81640625" style="84"/>
    <col min="2561" max="2561" width="12.6328125" style="84" customWidth="1"/>
    <col min="2562" max="2562" width="23.6328125" style="84" customWidth="1"/>
    <col min="2563" max="2564" width="11.6328125" style="84" customWidth="1"/>
    <col min="2565" max="2565" width="4.6328125" style="84" customWidth="1"/>
    <col min="2566" max="2566" width="12.6328125" style="84" customWidth="1"/>
    <col min="2567" max="2567" width="23.6328125" style="84" customWidth="1"/>
    <col min="2568" max="2569" width="11.6328125" style="84" customWidth="1"/>
    <col min="2570" max="2570" width="8.81640625" style="84"/>
    <col min="2571" max="2573" width="10.6328125" style="84" customWidth="1"/>
    <col min="2574" max="2579" width="8.81640625" style="84"/>
    <col min="2580" max="2581" width="9.6328125" style="84" customWidth="1"/>
    <col min="2582" max="2816" width="8.81640625" style="84"/>
    <col min="2817" max="2817" width="12.6328125" style="84" customWidth="1"/>
    <col min="2818" max="2818" width="23.6328125" style="84" customWidth="1"/>
    <col min="2819" max="2820" width="11.6328125" style="84" customWidth="1"/>
    <col min="2821" max="2821" width="4.6328125" style="84" customWidth="1"/>
    <col min="2822" max="2822" width="12.6328125" style="84" customWidth="1"/>
    <col min="2823" max="2823" width="23.6328125" style="84" customWidth="1"/>
    <col min="2824" max="2825" width="11.6328125" style="84" customWidth="1"/>
    <col min="2826" max="2826" width="8.81640625" style="84"/>
    <col min="2827" max="2829" width="10.6328125" style="84" customWidth="1"/>
    <col min="2830" max="2835" width="8.81640625" style="84"/>
    <col min="2836" max="2837" width="9.6328125" style="84" customWidth="1"/>
    <col min="2838" max="3072" width="8.81640625" style="84"/>
    <col min="3073" max="3073" width="12.6328125" style="84" customWidth="1"/>
    <col min="3074" max="3074" width="23.6328125" style="84" customWidth="1"/>
    <col min="3075" max="3076" width="11.6328125" style="84" customWidth="1"/>
    <col min="3077" max="3077" width="4.6328125" style="84" customWidth="1"/>
    <col min="3078" max="3078" width="12.6328125" style="84" customWidth="1"/>
    <col min="3079" max="3079" width="23.6328125" style="84" customWidth="1"/>
    <col min="3080" max="3081" width="11.6328125" style="84" customWidth="1"/>
    <col min="3082" max="3082" width="8.81640625" style="84"/>
    <col min="3083" max="3085" width="10.6328125" style="84" customWidth="1"/>
    <col min="3086" max="3091" width="8.81640625" style="84"/>
    <col min="3092" max="3093" width="9.6328125" style="84" customWidth="1"/>
    <col min="3094" max="3328" width="8.81640625" style="84"/>
    <col min="3329" max="3329" width="12.6328125" style="84" customWidth="1"/>
    <col min="3330" max="3330" width="23.6328125" style="84" customWidth="1"/>
    <col min="3331" max="3332" width="11.6328125" style="84" customWidth="1"/>
    <col min="3333" max="3333" width="4.6328125" style="84" customWidth="1"/>
    <col min="3334" max="3334" width="12.6328125" style="84" customWidth="1"/>
    <col min="3335" max="3335" width="23.6328125" style="84" customWidth="1"/>
    <col min="3336" max="3337" width="11.6328125" style="84" customWidth="1"/>
    <col min="3338" max="3338" width="8.81640625" style="84"/>
    <col min="3339" max="3341" width="10.6328125" style="84" customWidth="1"/>
    <col min="3342" max="3347" width="8.81640625" style="84"/>
    <col min="3348" max="3349" width="9.6328125" style="84" customWidth="1"/>
    <col min="3350" max="3584" width="8.81640625" style="84"/>
    <col min="3585" max="3585" width="12.6328125" style="84" customWidth="1"/>
    <col min="3586" max="3586" width="23.6328125" style="84" customWidth="1"/>
    <col min="3587" max="3588" width="11.6328125" style="84" customWidth="1"/>
    <col min="3589" max="3589" width="4.6328125" style="84" customWidth="1"/>
    <col min="3590" max="3590" width="12.6328125" style="84" customWidth="1"/>
    <col min="3591" max="3591" width="23.6328125" style="84" customWidth="1"/>
    <col min="3592" max="3593" width="11.6328125" style="84" customWidth="1"/>
    <col min="3594" max="3594" width="8.81640625" style="84"/>
    <col min="3595" max="3597" width="10.6328125" style="84" customWidth="1"/>
    <col min="3598" max="3603" width="8.81640625" style="84"/>
    <col min="3604" max="3605" width="9.6328125" style="84" customWidth="1"/>
    <col min="3606" max="3840" width="8.81640625" style="84"/>
    <col min="3841" max="3841" width="12.6328125" style="84" customWidth="1"/>
    <col min="3842" max="3842" width="23.6328125" style="84" customWidth="1"/>
    <col min="3843" max="3844" width="11.6328125" style="84" customWidth="1"/>
    <col min="3845" max="3845" width="4.6328125" style="84" customWidth="1"/>
    <col min="3846" max="3846" width="12.6328125" style="84" customWidth="1"/>
    <col min="3847" max="3847" width="23.6328125" style="84" customWidth="1"/>
    <col min="3848" max="3849" width="11.6328125" style="84" customWidth="1"/>
    <col min="3850" max="3850" width="8.81640625" style="84"/>
    <col min="3851" max="3853" width="10.6328125" style="84" customWidth="1"/>
    <col min="3854" max="3859" width="8.81640625" style="84"/>
    <col min="3860" max="3861" width="9.6328125" style="84" customWidth="1"/>
    <col min="3862" max="4096" width="8.81640625" style="84"/>
    <col min="4097" max="4097" width="12.6328125" style="84" customWidth="1"/>
    <col min="4098" max="4098" width="23.6328125" style="84" customWidth="1"/>
    <col min="4099" max="4100" width="11.6328125" style="84" customWidth="1"/>
    <col min="4101" max="4101" width="4.6328125" style="84" customWidth="1"/>
    <col min="4102" max="4102" width="12.6328125" style="84" customWidth="1"/>
    <col min="4103" max="4103" width="23.6328125" style="84" customWidth="1"/>
    <col min="4104" max="4105" width="11.6328125" style="84" customWidth="1"/>
    <col min="4106" max="4106" width="8.81640625" style="84"/>
    <col min="4107" max="4109" width="10.6328125" style="84" customWidth="1"/>
    <col min="4110" max="4115" width="8.81640625" style="84"/>
    <col min="4116" max="4117" width="9.6328125" style="84" customWidth="1"/>
    <col min="4118" max="4352" width="8.81640625" style="84"/>
    <col min="4353" max="4353" width="12.6328125" style="84" customWidth="1"/>
    <col min="4354" max="4354" width="23.6328125" style="84" customWidth="1"/>
    <col min="4355" max="4356" width="11.6328125" style="84" customWidth="1"/>
    <col min="4357" max="4357" width="4.6328125" style="84" customWidth="1"/>
    <col min="4358" max="4358" width="12.6328125" style="84" customWidth="1"/>
    <col min="4359" max="4359" width="23.6328125" style="84" customWidth="1"/>
    <col min="4360" max="4361" width="11.6328125" style="84" customWidth="1"/>
    <col min="4362" max="4362" width="8.81640625" style="84"/>
    <col min="4363" max="4365" width="10.6328125" style="84" customWidth="1"/>
    <col min="4366" max="4371" width="8.81640625" style="84"/>
    <col min="4372" max="4373" width="9.6328125" style="84" customWidth="1"/>
    <col min="4374" max="4608" width="8.81640625" style="84"/>
    <col min="4609" max="4609" width="12.6328125" style="84" customWidth="1"/>
    <col min="4610" max="4610" width="23.6328125" style="84" customWidth="1"/>
    <col min="4611" max="4612" width="11.6328125" style="84" customWidth="1"/>
    <col min="4613" max="4613" width="4.6328125" style="84" customWidth="1"/>
    <col min="4614" max="4614" width="12.6328125" style="84" customWidth="1"/>
    <col min="4615" max="4615" width="23.6328125" style="84" customWidth="1"/>
    <col min="4616" max="4617" width="11.6328125" style="84" customWidth="1"/>
    <col min="4618" max="4618" width="8.81640625" style="84"/>
    <col min="4619" max="4621" width="10.6328125" style="84" customWidth="1"/>
    <col min="4622" max="4627" width="8.81640625" style="84"/>
    <col min="4628" max="4629" width="9.6328125" style="84" customWidth="1"/>
    <col min="4630" max="4864" width="8.81640625" style="84"/>
    <col min="4865" max="4865" width="12.6328125" style="84" customWidth="1"/>
    <col min="4866" max="4866" width="23.6328125" style="84" customWidth="1"/>
    <col min="4867" max="4868" width="11.6328125" style="84" customWidth="1"/>
    <col min="4869" max="4869" width="4.6328125" style="84" customWidth="1"/>
    <col min="4870" max="4870" width="12.6328125" style="84" customWidth="1"/>
    <col min="4871" max="4871" width="23.6328125" style="84" customWidth="1"/>
    <col min="4872" max="4873" width="11.6328125" style="84" customWidth="1"/>
    <col min="4874" max="4874" width="8.81640625" style="84"/>
    <col min="4875" max="4877" width="10.6328125" style="84" customWidth="1"/>
    <col min="4878" max="4883" width="8.81640625" style="84"/>
    <col min="4884" max="4885" width="9.6328125" style="84" customWidth="1"/>
    <col min="4886" max="5120" width="8.81640625" style="84"/>
    <col min="5121" max="5121" width="12.6328125" style="84" customWidth="1"/>
    <col min="5122" max="5122" width="23.6328125" style="84" customWidth="1"/>
    <col min="5123" max="5124" width="11.6328125" style="84" customWidth="1"/>
    <col min="5125" max="5125" width="4.6328125" style="84" customWidth="1"/>
    <col min="5126" max="5126" width="12.6328125" style="84" customWidth="1"/>
    <col min="5127" max="5127" width="23.6328125" style="84" customWidth="1"/>
    <col min="5128" max="5129" width="11.6328125" style="84" customWidth="1"/>
    <col min="5130" max="5130" width="8.81640625" style="84"/>
    <col min="5131" max="5133" width="10.6328125" style="84" customWidth="1"/>
    <col min="5134" max="5139" width="8.81640625" style="84"/>
    <col min="5140" max="5141" width="9.6328125" style="84" customWidth="1"/>
    <col min="5142" max="5376" width="8.81640625" style="84"/>
    <col min="5377" max="5377" width="12.6328125" style="84" customWidth="1"/>
    <col min="5378" max="5378" width="23.6328125" style="84" customWidth="1"/>
    <col min="5379" max="5380" width="11.6328125" style="84" customWidth="1"/>
    <col min="5381" max="5381" width="4.6328125" style="84" customWidth="1"/>
    <col min="5382" max="5382" width="12.6328125" style="84" customWidth="1"/>
    <col min="5383" max="5383" width="23.6328125" style="84" customWidth="1"/>
    <col min="5384" max="5385" width="11.6328125" style="84" customWidth="1"/>
    <col min="5386" max="5386" width="8.81640625" style="84"/>
    <col min="5387" max="5389" width="10.6328125" style="84" customWidth="1"/>
    <col min="5390" max="5395" width="8.81640625" style="84"/>
    <col min="5396" max="5397" width="9.6328125" style="84" customWidth="1"/>
    <col min="5398" max="5632" width="8.81640625" style="84"/>
    <col min="5633" max="5633" width="12.6328125" style="84" customWidth="1"/>
    <col min="5634" max="5634" width="23.6328125" style="84" customWidth="1"/>
    <col min="5635" max="5636" width="11.6328125" style="84" customWidth="1"/>
    <col min="5637" max="5637" width="4.6328125" style="84" customWidth="1"/>
    <col min="5638" max="5638" width="12.6328125" style="84" customWidth="1"/>
    <col min="5639" max="5639" width="23.6328125" style="84" customWidth="1"/>
    <col min="5640" max="5641" width="11.6328125" style="84" customWidth="1"/>
    <col min="5642" max="5642" width="8.81640625" style="84"/>
    <col min="5643" max="5645" width="10.6328125" style="84" customWidth="1"/>
    <col min="5646" max="5651" width="8.81640625" style="84"/>
    <col min="5652" max="5653" width="9.6328125" style="84" customWidth="1"/>
    <col min="5654" max="5888" width="8.81640625" style="84"/>
    <col min="5889" max="5889" width="12.6328125" style="84" customWidth="1"/>
    <col min="5890" max="5890" width="23.6328125" style="84" customWidth="1"/>
    <col min="5891" max="5892" width="11.6328125" style="84" customWidth="1"/>
    <col min="5893" max="5893" width="4.6328125" style="84" customWidth="1"/>
    <col min="5894" max="5894" width="12.6328125" style="84" customWidth="1"/>
    <col min="5895" max="5895" width="23.6328125" style="84" customWidth="1"/>
    <col min="5896" max="5897" width="11.6328125" style="84" customWidth="1"/>
    <col min="5898" max="5898" width="8.81640625" style="84"/>
    <col min="5899" max="5901" width="10.6328125" style="84" customWidth="1"/>
    <col min="5902" max="5907" width="8.81640625" style="84"/>
    <col min="5908" max="5909" width="9.6328125" style="84" customWidth="1"/>
    <col min="5910" max="6144" width="8.81640625" style="84"/>
    <col min="6145" max="6145" width="12.6328125" style="84" customWidth="1"/>
    <col min="6146" max="6146" width="23.6328125" style="84" customWidth="1"/>
    <col min="6147" max="6148" width="11.6328125" style="84" customWidth="1"/>
    <col min="6149" max="6149" width="4.6328125" style="84" customWidth="1"/>
    <col min="6150" max="6150" width="12.6328125" style="84" customWidth="1"/>
    <col min="6151" max="6151" width="23.6328125" style="84" customWidth="1"/>
    <col min="6152" max="6153" width="11.6328125" style="84" customWidth="1"/>
    <col min="6154" max="6154" width="8.81640625" style="84"/>
    <col min="6155" max="6157" width="10.6328125" style="84" customWidth="1"/>
    <col min="6158" max="6163" width="8.81640625" style="84"/>
    <col min="6164" max="6165" width="9.6328125" style="84" customWidth="1"/>
    <col min="6166" max="6400" width="8.81640625" style="84"/>
    <col min="6401" max="6401" width="12.6328125" style="84" customWidth="1"/>
    <col min="6402" max="6402" width="23.6328125" style="84" customWidth="1"/>
    <col min="6403" max="6404" width="11.6328125" style="84" customWidth="1"/>
    <col min="6405" max="6405" width="4.6328125" style="84" customWidth="1"/>
    <col min="6406" max="6406" width="12.6328125" style="84" customWidth="1"/>
    <col min="6407" max="6407" width="23.6328125" style="84" customWidth="1"/>
    <col min="6408" max="6409" width="11.6328125" style="84" customWidth="1"/>
    <col min="6410" max="6410" width="8.81640625" style="84"/>
    <col min="6411" max="6413" width="10.6328125" style="84" customWidth="1"/>
    <col min="6414" max="6419" width="8.81640625" style="84"/>
    <col min="6420" max="6421" width="9.6328125" style="84" customWidth="1"/>
    <col min="6422" max="6656" width="8.81640625" style="84"/>
    <col min="6657" max="6657" width="12.6328125" style="84" customWidth="1"/>
    <col min="6658" max="6658" width="23.6328125" style="84" customWidth="1"/>
    <col min="6659" max="6660" width="11.6328125" style="84" customWidth="1"/>
    <col min="6661" max="6661" width="4.6328125" style="84" customWidth="1"/>
    <col min="6662" max="6662" width="12.6328125" style="84" customWidth="1"/>
    <col min="6663" max="6663" width="23.6328125" style="84" customWidth="1"/>
    <col min="6664" max="6665" width="11.6328125" style="84" customWidth="1"/>
    <col min="6666" max="6666" width="8.81640625" style="84"/>
    <col min="6667" max="6669" width="10.6328125" style="84" customWidth="1"/>
    <col min="6670" max="6675" width="8.81640625" style="84"/>
    <col min="6676" max="6677" width="9.6328125" style="84" customWidth="1"/>
    <col min="6678" max="6912" width="8.81640625" style="84"/>
    <col min="6913" max="6913" width="12.6328125" style="84" customWidth="1"/>
    <col min="6914" max="6914" width="23.6328125" style="84" customWidth="1"/>
    <col min="6915" max="6916" width="11.6328125" style="84" customWidth="1"/>
    <col min="6917" max="6917" width="4.6328125" style="84" customWidth="1"/>
    <col min="6918" max="6918" width="12.6328125" style="84" customWidth="1"/>
    <col min="6919" max="6919" width="23.6328125" style="84" customWidth="1"/>
    <col min="6920" max="6921" width="11.6328125" style="84" customWidth="1"/>
    <col min="6922" max="6922" width="8.81640625" style="84"/>
    <col min="6923" max="6925" width="10.6328125" style="84" customWidth="1"/>
    <col min="6926" max="6931" width="8.81640625" style="84"/>
    <col min="6932" max="6933" width="9.6328125" style="84" customWidth="1"/>
    <col min="6934" max="7168" width="8.81640625" style="84"/>
    <col min="7169" max="7169" width="12.6328125" style="84" customWidth="1"/>
    <col min="7170" max="7170" width="23.6328125" style="84" customWidth="1"/>
    <col min="7171" max="7172" width="11.6328125" style="84" customWidth="1"/>
    <col min="7173" max="7173" width="4.6328125" style="84" customWidth="1"/>
    <col min="7174" max="7174" width="12.6328125" style="84" customWidth="1"/>
    <col min="7175" max="7175" width="23.6328125" style="84" customWidth="1"/>
    <col min="7176" max="7177" width="11.6328125" style="84" customWidth="1"/>
    <col min="7178" max="7178" width="8.81640625" style="84"/>
    <col min="7179" max="7181" width="10.6328125" style="84" customWidth="1"/>
    <col min="7182" max="7187" width="8.81640625" style="84"/>
    <col min="7188" max="7189" width="9.6328125" style="84" customWidth="1"/>
    <col min="7190" max="7424" width="8.81640625" style="84"/>
    <col min="7425" max="7425" width="12.6328125" style="84" customWidth="1"/>
    <col min="7426" max="7426" width="23.6328125" style="84" customWidth="1"/>
    <col min="7427" max="7428" width="11.6328125" style="84" customWidth="1"/>
    <col min="7429" max="7429" width="4.6328125" style="84" customWidth="1"/>
    <col min="7430" max="7430" width="12.6328125" style="84" customWidth="1"/>
    <col min="7431" max="7431" width="23.6328125" style="84" customWidth="1"/>
    <col min="7432" max="7433" width="11.6328125" style="84" customWidth="1"/>
    <col min="7434" max="7434" width="8.81640625" style="84"/>
    <col min="7435" max="7437" width="10.6328125" style="84" customWidth="1"/>
    <col min="7438" max="7443" width="8.81640625" style="84"/>
    <col min="7444" max="7445" width="9.6328125" style="84" customWidth="1"/>
    <col min="7446" max="7680" width="8.81640625" style="84"/>
    <col min="7681" max="7681" width="12.6328125" style="84" customWidth="1"/>
    <col min="7682" max="7682" width="23.6328125" style="84" customWidth="1"/>
    <col min="7683" max="7684" width="11.6328125" style="84" customWidth="1"/>
    <col min="7685" max="7685" width="4.6328125" style="84" customWidth="1"/>
    <col min="7686" max="7686" width="12.6328125" style="84" customWidth="1"/>
    <col min="7687" max="7687" width="23.6328125" style="84" customWidth="1"/>
    <col min="7688" max="7689" width="11.6328125" style="84" customWidth="1"/>
    <col min="7690" max="7690" width="8.81640625" style="84"/>
    <col min="7691" max="7693" width="10.6328125" style="84" customWidth="1"/>
    <col min="7694" max="7699" width="8.81640625" style="84"/>
    <col min="7700" max="7701" width="9.6328125" style="84" customWidth="1"/>
    <col min="7702" max="7936" width="8.81640625" style="84"/>
    <col min="7937" max="7937" width="12.6328125" style="84" customWidth="1"/>
    <col min="7938" max="7938" width="23.6328125" style="84" customWidth="1"/>
    <col min="7939" max="7940" width="11.6328125" style="84" customWidth="1"/>
    <col min="7941" max="7941" width="4.6328125" style="84" customWidth="1"/>
    <col min="7942" max="7942" width="12.6328125" style="84" customWidth="1"/>
    <col min="7943" max="7943" width="23.6328125" style="84" customWidth="1"/>
    <col min="7944" max="7945" width="11.6328125" style="84" customWidth="1"/>
    <col min="7946" max="7946" width="8.81640625" style="84"/>
    <col min="7947" max="7949" width="10.6328125" style="84" customWidth="1"/>
    <col min="7950" max="7955" width="8.81640625" style="84"/>
    <col min="7956" max="7957" width="9.6328125" style="84" customWidth="1"/>
    <col min="7958" max="8192" width="8.81640625" style="84"/>
    <col min="8193" max="8193" width="12.6328125" style="84" customWidth="1"/>
    <col min="8194" max="8194" width="23.6328125" style="84" customWidth="1"/>
    <col min="8195" max="8196" width="11.6328125" style="84" customWidth="1"/>
    <col min="8197" max="8197" width="4.6328125" style="84" customWidth="1"/>
    <col min="8198" max="8198" width="12.6328125" style="84" customWidth="1"/>
    <col min="8199" max="8199" width="23.6328125" style="84" customWidth="1"/>
    <col min="8200" max="8201" width="11.6328125" style="84" customWidth="1"/>
    <col min="8202" max="8202" width="8.81640625" style="84"/>
    <col min="8203" max="8205" width="10.6328125" style="84" customWidth="1"/>
    <col min="8206" max="8211" width="8.81640625" style="84"/>
    <col min="8212" max="8213" width="9.6328125" style="84" customWidth="1"/>
    <col min="8214" max="8448" width="8.81640625" style="84"/>
    <col min="8449" max="8449" width="12.6328125" style="84" customWidth="1"/>
    <col min="8450" max="8450" width="23.6328125" style="84" customWidth="1"/>
    <col min="8451" max="8452" width="11.6328125" style="84" customWidth="1"/>
    <col min="8453" max="8453" width="4.6328125" style="84" customWidth="1"/>
    <col min="8454" max="8454" width="12.6328125" style="84" customWidth="1"/>
    <col min="8455" max="8455" width="23.6328125" style="84" customWidth="1"/>
    <col min="8456" max="8457" width="11.6328125" style="84" customWidth="1"/>
    <col min="8458" max="8458" width="8.81640625" style="84"/>
    <col min="8459" max="8461" width="10.6328125" style="84" customWidth="1"/>
    <col min="8462" max="8467" width="8.81640625" style="84"/>
    <col min="8468" max="8469" width="9.6328125" style="84" customWidth="1"/>
    <col min="8470" max="8704" width="8.81640625" style="84"/>
    <col min="8705" max="8705" width="12.6328125" style="84" customWidth="1"/>
    <col min="8706" max="8706" width="23.6328125" style="84" customWidth="1"/>
    <col min="8707" max="8708" width="11.6328125" style="84" customWidth="1"/>
    <col min="8709" max="8709" width="4.6328125" style="84" customWidth="1"/>
    <col min="8710" max="8710" width="12.6328125" style="84" customWidth="1"/>
    <col min="8711" max="8711" width="23.6328125" style="84" customWidth="1"/>
    <col min="8712" max="8713" width="11.6328125" style="84" customWidth="1"/>
    <col min="8714" max="8714" width="8.81640625" style="84"/>
    <col min="8715" max="8717" width="10.6328125" style="84" customWidth="1"/>
    <col min="8718" max="8723" width="8.81640625" style="84"/>
    <col min="8724" max="8725" width="9.6328125" style="84" customWidth="1"/>
    <col min="8726" max="8960" width="8.81640625" style="84"/>
    <col min="8961" max="8961" width="12.6328125" style="84" customWidth="1"/>
    <col min="8962" max="8962" width="23.6328125" style="84" customWidth="1"/>
    <col min="8963" max="8964" width="11.6328125" style="84" customWidth="1"/>
    <col min="8965" max="8965" width="4.6328125" style="84" customWidth="1"/>
    <col min="8966" max="8966" width="12.6328125" style="84" customWidth="1"/>
    <col min="8967" max="8967" width="23.6328125" style="84" customWidth="1"/>
    <col min="8968" max="8969" width="11.6328125" style="84" customWidth="1"/>
    <col min="8970" max="8970" width="8.81640625" style="84"/>
    <col min="8971" max="8973" width="10.6328125" style="84" customWidth="1"/>
    <col min="8974" max="8979" width="8.81640625" style="84"/>
    <col min="8980" max="8981" width="9.6328125" style="84" customWidth="1"/>
    <col min="8982" max="9216" width="8.81640625" style="84"/>
    <col min="9217" max="9217" width="12.6328125" style="84" customWidth="1"/>
    <col min="9218" max="9218" width="23.6328125" style="84" customWidth="1"/>
    <col min="9219" max="9220" width="11.6328125" style="84" customWidth="1"/>
    <col min="9221" max="9221" width="4.6328125" style="84" customWidth="1"/>
    <col min="9222" max="9222" width="12.6328125" style="84" customWidth="1"/>
    <col min="9223" max="9223" width="23.6328125" style="84" customWidth="1"/>
    <col min="9224" max="9225" width="11.6328125" style="84" customWidth="1"/>
    <col min="9226" max="9226" width="8.81640625" style="84"/>
    <col min="9227" max="9229" width="10.6328125" style="84" customWidth="1"/>
    <col min="9230" max="9235" width="8.81640625" style="84"/>
    <col min="9236" max="9237" width="9.6328125" style="84" customWidth="1"/>
    <col min="9238" max="9472" width="8.81640625" style="84"/>
    <col min="9473" max="9473" width="12.6328125" style="84" customWidth="1"/>
    <col min="9474" max="9474" width="23.6328125" style="84" customWidth="1"/>
    <col min="9475" max="9476" width="11.6328125" style="84" customWidth="1"/>
    <col min="9477" max="9477" width="4.6328125" style="84" customWidth="1"/>
    <col min="9478" max="9478" width="12.6328125" style="84" customWidth="1"/>
    <col min="9479" max="9479" width="23.6328125" style="84" customWidth="1"/>
    <col min="9480" max="9481" width="11.6328125" style="84" customWidth="1"/>
    <col min="9482" max="9482" width="8.81640625" style="84"/>
    <col min="9483" max="9485" width="10.6328125" style="84" customWidth="1"/>
    <col min="9486" max="9491" width="8.81640625" style="84"/>
    <col min="9492" max="9493" width="9.6328125" style="84" customWidth="1"/>
    <col min="9494" max="9728" width="8.81640625" style="84"/>
    <col min="9729" max="9729" width="12.6328125" style="84" customWidth="1"/>
    <col min="9730" max="9730" width="23.6328125" style="84" customWidth="1"/>
    <col min="9731" max="9732" width="11.6328125" style="84" customWidth="1"/>
    <col min="9733" max="9733" width="4.6328125" style="84" customWidth="1"/>
    <col min="9734" max="9734" width="12.6328125" style="84" customWidth="1"/>
    <col min="9735" max="9735" width="23.6328125" style="84" customWidth="1"/>
    <col min="9736" max="9737" width="11.6328125" style="84" customWidth="1"/>
    <col min="9738" max="9738" width="8.81640625" style="84"/>
    <col min="9739" max="9741" width="10.6328125" style="84" customWidth="1"/>
    <col min="9742" max="9747" width="8.81640625" style="84"/>
    <col min="9748" max="9749" width="9.6328125" style="84" customWidth="1"/>
    <col min="9750" max="9984" width="8.81640625" style="84"/>
    <col min="9985" max="9985" width="12.6328125" style="84" customWidth="1"/>
    <col min="9986" max="9986" width="23.6328125" style="84" customWidth="1"/>
    <col min="9987" max="9988" width="11.6328125" style="84" customWidth="1"/>
    <col min="9989" max="9989" width="4.6328125" style="84" customWidth="1"/>
    <col min="9990" max="9990" width="12.6328125" style="84" customWidth="1"/>
    <col min="9991" max="9991" width="23.6328125" style="84" customWidth="1"/>
    <col min="9992" max="9993" width="11.6328125" style="84" customWidth="1"/>
    <col min="9994" max="9994" width="8.81640625" style="84"/>
    <col min="9995" max="9997" width="10.6328125" style="84" customWidth="1"/>
    <col min="9998" max="10003" width="8.81640625" style="84"/>
    <col min="10004" max="10005" width="9.6328125" style="84" customWidth="1"/>
    <col min="10006" max="10240" width="8.81640625" style="84"/>
    <col min="10241" max="10241" width="12.6328125" style="84" customWidth="1"/>
    <col min="10242" max="10242" width="23.6328125" style="84" customWidth="1"/>
    <col min="10243" max="10244" width="11.6328125" style="84" customWidth="1"/>
    <col min="10245" max="10245" width="4.6328125" style="84" customWidth="1"/>
    <col min="10246" max="10246" width="12.6328125" style="84" customWidth="1"/>
    <col min="10247" max="10247" width="23.6328125" style="84" customWidth="1"/>
    <col min="10248" max="10249" width="11.6328125" style="84" customWidth="1"/>
    <col min="10250" max="10250" width="8.81640625" style="84"/>
    <col min="10251" max="10253" width="10.6328125" style="84" customWidth="1"/>
    <col min="10254" max="10259" width="8.81640625" style="84"/>
    <col min="10260" max="10261" width="9.6328125" style="84" customWidth="1"/>
    <col min="10262" max="10496" width="8.81640625" style="84"/>
    <col min="10497" max="10497" width="12.6328125" style="84" customWidth="1"/>
    <col min="10498" max="10498" width="23.6328125" style="84" customWidth="1"/>
    <col min="10499" max="10500" width="11.6328125" style="84" customWidth="1"/>
    <col min="10501" max="10501" width="4.6328125" style="84" customWidth="1"/>
    <col min="10502" max="10502" width="12.6328125" style="84" customWidth="1"/>
    <col min="10503" max="10503" width="23.6328125" style="84" customWidth="1"/>
    <col min="10504" max="10505" width="11.6328125" style="84" customWidth="1"/>
    <col min="10506" max="10506" width="8.81640625" style="84"/>
    <col min="10507" max="10509" width="10.6328125" style="84" customWidth="1"/>
    <col min="10510" max="10515" width="8.81640625" style="84"/>
    <col min="10516" max="10517" width="9.6328125" style="84" customWidth="1"/>
    <col min="10518" max="10752" width="8.81640625" style="84"/>
    <col min="10753" max="10753" width="12.6328125" style="84" customWidth="1"/>
    <col min="10754" max="10754" width="23.6328125" style="84" customWidth="1"/>
    <col min="10755" max="10756" width="11.6328125" style="84" customWidth="1"/>
    <col min="10757" max="10757" width="4.6328125" style="84" customWidth="1"/>
    <col min="10758" max="10758" width="12.6328125" style="84" customWidth="1"/>
    <col min="10759" max="10759" width="23.6328125" style="84" customWidth="1"/>
    <col min="10760" max="10761" width="11.6328125" style="84" customWidth="1"/>
    <col min="10762" max="10762" width="8.81640625" style="84"/>
    <col min="10763" max="10765" width="10.6328125" style="84" customWidth="1"/>
    <col min="10766" max="10771" width="8.81640625" style="84"/>
    <col min="10772" max="10773" width="9.6328125" style="84" customWidth="1"/>
    <col min="10774" max="11008" width="8.81640625" style="84"/>
    <col min="11009" max="11009" width="12.6328125" style="84" customWidth="1"/>
    <col min="11010" max="11010" width="23.6328125" style="84" customWidth="1"/>
    <col min="11011" max="11012" width="11.6328125" style="84" customWidth="1"/>
    <col min="11013" max="11013" width="4.6328125" style="84" customWidth="1"/>
    <col min="11014" max="11014" width="12.6328125" style="84" customWidth="1"/>
    <col min="11015" max="11015" width="23.6328125" style="84" customWidth="1"/>
    <col min="11016" max="11017" width="11.6328125" style="84" customWidth="1"/>
    <col min="11018" max="11018" width="8.81640625" style="84"/>
    <col min="11019" max="11021" width="10.6328125" style="84" customWidth="1"/>
    <col min="11022" max="11027" width="8.81640625" style="84"/>
    <col min="11028" max="11029" width="9.6328125" style="84" customWidth="1"/>
    <col min="11030" max="11264" width="8.81640625" style="84"/>
    <col min="11265" max="11265" width="12.6328125" style="84" customWidth="1"/>
    <col min="11266" max="11266" width="23.6328125" style="84" customWidth="1"/>
    <col min="11267" max="11268" width="11.6328125" style="84" customWidth="1"/>
    <col min="11269" max="11269" width="4.6328125" style="84" customWidth="1"/>
    <col min="11270" max="11270" width="12.6328125" style="84" customWidth="1"/>
    <col min="11271" max="11271" width="23.6328125" style="84" customWidth="1"/>
    <col min="11272" max="11273" width="11.6328125" style="84" customWidth="1"/>
    <col min="11274" max="11274" width="8.81640625" style="84"/>
    <col min="11275" max="11277" width="10.6328125" style="84" customWidth="1"/>
    <col min="11278" max="11283" width="8.81640625" style="84"/>
    <col min="11284" max="11285" width="9.6328125" style="84" customWidth="1"/>
    <col min="11286" max="11520" width="8.81640625" style="84"/>
    <col min="11521" max="11521" width="12.6328125" style="84" customWidth="1"/>
    <col min="11522" max="11522" width="23.6328125" style="84" customWidth="1"/>
    <col min="11523" max="11524" width="11.6328125" style="84" customWidth="1"/>
    <col min="11525" max="11525" width="4.6328125" style="84" customWidth="1"/>
    <col min="11526" max="11526" width="12.6328125" style="84" customWidth="1"/>
    <col min="11527" max="11527" width="23.6328125" style="84" customWidth="1"/>
    <col min="11528" max="11529" width="11.6328125" style="84" customWidth="1"/>
    <col min="11530" max="11530" width="8.81640625" style="84"/>
    <col min="11531" max="11533" width="10.6328125" style="84" customWidth="1"/>
    <col min="11534" max="11539" width="8.81640625" style="84"/>
    <col min="11540" max="11541" width="9.6328125" style="84" customWidth="1"/>
    <col min="11542" max="11776" width="8.81640625" style="84"/>
    <col min="11777" max="11777" width="12.6328125" style="84" customWidth="1"/>
    <col min="11778" max="11778" width="23.6328125" style="84" customWidth="1"/>
    <col min="11779" max="11780" width="11.6328125" style="84" customWidth="1"/>
    <col min="11781" max="11781" width="4.6328125" style="84" customWidth="1"/>
    <col min="11782" max="11782" width="12.6328125" style="84" customWidth="1"/>
    <col min="11783" max="11783" width="23.6328125" style="84" customWidth="1"/>
    <col min="11784" max="11785" width="11.6328125" style="84" customWidth="1"/>
    <col min="11786" max="11786" width="8.81640625" style="84"/>
    <col min="11787" max="11789" width="10.6328125" style="84" customWidth="1"/>
    <col min="11790" max="11795" width="8.81640625" style="84"/>
    <col min="11796" max="11797" width="9.6328125" style="84" customWidth="1"/>
    <col min="11798" max="12032" width="8.81640625" style="84"/>
    <col min="12033" max="12033" width="12.6328125" style="84" customWidth="1"/>
    <col min="12034" max="12034" width="23.6328125" style="84" customWidth="1"/>
    <col min="12035" max="12036" width="11.6328125" style="84" customWidth="1"/>
    <col min="12037" max="12037" width="4.6328125" style="84" customWidth="1"/>
    <col min="12038" max="12038" width="12.6328125" style="84" customWidth="1"/>
    <col min="12039" max="12039" width="23.6328125" style="84" customWidth="1"/>
    <col min="12040" max="12041" width="11.6328125" style="84" customWidth="1"/>
    <col min="12042" max="12042" width="8.81640625" style="84"/>
    <col min="12043" max="12045" width="10.6328125" style="84" customWidth="1"/>
    <col min="12046" max="12051" width="8.81640625" style="84"/>
    <col min="12052" max="12053" width="9.6328125" style="84" customWidth="1"/>
    <col min="12054" max="12288" width="8.81640625" style="84"/>
    <col min="12289" max="12289" width="12.6328125" style="84" customWidth="1"/>
    <col min="12290" max="12290" width="23.6328125" style="84" customWidth="1"/>
    <col min="12291" max="12292" width="11.6328125" style="84" customWidth="1"/>
    <col min="12293" max="12293" width="4.6328125" style="84" customWidth="1"/>
    <col min="12294" max="12294" width="12.6328125" style="84" customWidth="1"/>
    <col min="12295" max="12295" width="23.6328125" style="84" customWidth="1"/>
    <col min="12296" max="12297" width="11.6328125" style="84" customWidth="1"/>
    <col min="12298" max="12298" width="8.81640625" style="84"/>
    <col min="12299" max="12301" width="10.6328125" style="84" customWidth="1"/>
    <col min="12302" max="12307" width="8.81640625" style="84"/>
    <col min="12308" max="12309" width="9.6328125" style="84" customWidth="1"/>
    <col min="12310" max="12544" width="8.81640625" style="84"/>
    <col min="12545" max="12545" width="12.6328125" style="84" customWidth="1"/>
    <col min="12546" max="12546" width="23.6328125" style="84" customWidth="1"/>
    <col min="12547" max="12548" width="11.6328125" style="84" customWidth="1"/>
    <col min="12549" max="12549" width="4.6328125" style="84" customWidth="1"/>
    <col min="12550" max="12550" width="12.6328125" style="84" customWidth="1"/>
    <col min="12551" max="12551" width="23.6328125" style="84" customWidth="1"/>
    <col min="12552" max="12553" width="11.6328125" style="84" customWidth="1"/>
    <col min="12554" max="12554" width="8.81640625" style="84"/>
    <col min="12555" max="12557" width="10.6328125" style="84" customWidth="1"/>
    <col min="12558" max="12563" width="8.81640625" style="84"/>
    <col min="12564" max="12565" width="9.6328125" style="84" customWidth="1"/>
    <col min="12566" max="12800" width="8.81640625" style="84"/>
    <col min="12801" max="12801" width="12.6328125" style="84" customWidth="1"/>
    <col min="12802" max="12802" width="23.6328125" style="84" customWidth="1"/>
    <col min="12803" max="12804" width="11.6328125" style="84" customWidth="1"/>
    <col min="12805" max="12805" width="4.6328125" style="84" customWidth="1"/>
    <col min="12806" max="12806" width="12.6328125" style="84" customWidth="1"/>
    <col min="12807" max="12807" width="23.6328125" style="84" customWidth="1"/>
    <col min="12808" max="12809" width="11.6328125" style="84" customWidth="1"/>
    <col min="12810" max="12810" width="8.81640625" style="84"/>
    <col min="12811" max="12813" width="10.6328125" style="84" customWidth="1"/>
    <col min="12814" max="12819" width="8.81640625" style="84"/>
    <col min="12820" max="12821" width="9.6328125" style="84" customWidth="1"/>
    <col min="12822" max="13056" width="8.81640625" style="84"/>
    <col min="13057" max="13057" width="12.6328125" style="84" customWidth="1"/>
    <col min="13058" max="13058" width="23.6328125" style="84" customWidth="1"/>
    <col min="13059" max="13060" width="11.6328125" style="84" customWidth="1"/>
    <col min="13061" max="13061" width="4.6328125" style="84" customWidth="1"/>
    <col min="13062" max="13062" width="12.6328125" style="84" customWidth="1"/>
    <col min="13063" max="13063" width="23.6328125" style="84" customWidth="1"/>
    <col min="13064" max="13065" width="11.6328125" style="84" customWidth="1"/>
    <col min="13066" max="13066" width="8.81640625" style="84"/>
    <col min="13067" max="13069" width="10.6328125" style="84" customWidth="1"/>
    <col min="13070" max="13075" width="8.81640625" style="84"/>
    <col min="13076" max="13077" width="9.6328125" style="84" customWidth="1"/>
    <col min="13078" max="13312" width="8.81640625" style="84"/>
    <col min="13313" max="13313" width="12.6328125" style="84" customWidth="1"/>
    <col min="13314" max="13314" width="23.6328125" style="84" customWidth="1"/>
    <col min="13315" max="13316" width="11.6328125" style="84" customWidth="1"/>
    <col min="13317" max="13317" width="4.6328125" style="84" customWidth="1"/>
    <col min="13318" max="13318" width="12.6328125" style="84" customWidth="1"/>
    <col min="13319" max="13319" width="23.6328125" style="84" customWidth="1"/>
    <col min="13320" max="13321" width="11.6328125" style="84" customWidth="1"/>
    <col min="13322" max="13322" width="8.81640625" style="84"/>
    <col min="13323" max="13325" width="10.6328125" style="84" customWidth="1"/>
    <col min="13326" max="13331" width="8.81640625" style="84"/>
    <col min="13332" max="13333" width="9.6328125" style="84" customWidth="1"/>
    <col min="13334" max="13568" width="8.81640625" style="84"/>
    <col min="13569" max="13569" width="12.6328125" style="84" customWidth="1"/>
    <col min="13570" max="13570" width="23.6328125" style="84" customWidth="1"/>
    <col min="13571" max="13572" width="11.6328125" style="84" customWidth="1"/>
    <col min="13573" max="13573" width="4.6328125" style="84" customWidth="1"/>
    <col min="13574" max="13574" width="12.6328125" style="84" customWidth="1"/>
    <col min="13575" max="13575" width="23.6328125" style="84" customWidth="1"/>
    <col min="13576" max="13577" width="11.6328125" style="84" customWidth="1"/>
    <col min="13578" max="13578" width="8.81640625" style="84"/>
    <col min="13579" max="13581" width="10.6328125" style="84" customWidth="1"/>
    <col min="13582" max="13587" width="8.81640625" style="84"/>
    <col min="13588" max="13589" width="9.6328125" style="84" customWidth="1"/>
    <col min="13590" max="13824" width="8.81640625" style="84"/>
    <col min="13825" max="13825" width="12.6328125" style="84" customWidth="1"/>
    <col min="13826" max="13826" width="23.6328125" style="84" customWidth="1"/>
    <col min="13827" max="13828" width="11.6328125" style="84" customWidth="1"/>
    <col min="13829" max="13829" width="4.6328125" style="84" customWidth="1"/>
    <col min="13830" max="13830" width="12.6328125" style="84" customWidth="1"/>
    <col min="13831" max="13831" width="23.6328125" style="84" customWidth="1"/>
    <col min="13832" max="13833" width="11.6328125" style="84" customWidth="1"/>
    <col min="13834" max="13834" width="8.81640625" style="84"/>
    <col min="13835" max="13837" width="10.6328125" style="84" customWidth="1"/>
    <col min="13838" max="13843" width="8.81640625" style="84"/>
    <col min="13844" max="13845" width="9.6328125" style="84" customWidth="1"/>
    <col min="13846" max="14080" width="8.81640625" style="84"/>
    <col min="14081" max="14081" width="12.6328125" style="84" customWidth="1"/>
    <col min="14082" max="14082" width="23.6328125" style="84" customWidth="1"/>
    <col min="14083" max="14084" width="11.6328125" style="84" customWidth="1"/>
    <col min="14085" max="14085" width="4.6328125" style="84" customWidth="1"/>
    <col min="14086" max="14086" width="12.6328125" style="84" customWidth="1"/>
    <col min="14087" max="14087" width="23.6328125" style="84" customWidth="1"/>
    <col min="14088" max="14089" width="11.6328125" style="84" customWidth="1"/>
    <col min="14090" max="14090" width="8.81640625" style="84"/>
    <col min="14091" max="14093" width="10.6328125" style="84" customWidth="1"/>
    <col min="14094" max="14099" width="8.81640625" style="84"/>
    <col min="14100" max="14101" width="9.6328125" style="84" customWidth="1"/>
    <col min="14102" max="14336" width="8.81640625" style="84"/>
    <col min="14337" max="14337" width="12.6328125" style="84" customWidth="1"/>
    <col min="14338" max="14338" width="23.6328125" style="84" customWidth="1"/>
    <col min="14339" max="14340" width="11.6328125" style="84" customWidth="1"/>
    <col min="14341" max="14341" width="4.6328125" style="84" customWidth="1"/>
    <col min="14342" max="14342" width="12.6328125" style="84" customWidth="1"/>
    <col min="14343" max="14343" width="23.6328125" style="84" customWidth="1"/>
    <col min="14344" max="14345" width="11.6328125" style="84" customWidth="1"/>
    <col min="14346" max="14346" width="8.81640625" style="84"/>
    <col min="14347" max="14349" width="10.6328125" style="84" customWidth="1"/>
    <col min="14350" max="14355" width="8.81640625" style="84"/>
    <col min="14356" max="14357" width="9.6328125" style="84" customWidth="1"/>
    <col min="14358" max="14592" width="8.81640625" style="84"/>
    <col min="14593" max="14593" width="12.6328125" style="84" customWidth="1"/>
    <col min="14594" max="14594" width="23.6328125" style="84" customWidth="1"/>
    <col min="14595" max="14596" width="11.6328125" style="84" customWidth="1"/>
    <col min="14597" max="14597" width="4.6328125" style="84" customWidth="1"/>
    <col min="14598" max="14598" width="12.6328125" style="84" customWidth="1"/>
    <col min="14599" max="14599" width="23.6328125" style="84" customWidth="1"/>
    <col min="14600" max="14601" width="11.6328125" style="84" customWidth="1"/>
    <col min="14602" max="14602" width="8.81640625" style="84"/>
    <col min="14603" max="14605" width="10.6328125" style="84" customWidth="1"/>
    <col min="14606" max="14611" width="8.81640625" style="84"/>
    <col min="14612" max="14613" width="9.6328125" style="84" customWidth="1"/>
    <col min="14614" max="14848" width="8.81640625" style="84"/>
    <col min="14849" max="14849" width="12.6328125" style="84" customWidth="1"/>
    <col min="14850" max="14850" width="23.6328125" style="84" customWidth="1"/>
    <col min="14851" max="14852" width="11.6328125" style="84" customWidth="1"/>
    <col min="14853" max="14853" width="4.6328125" style="84" customWidth="1"/>
    <col min="14854" max="14854" width="12.6328125" style="84" customWidth="1"/>
    <col min="14855" max="14855" width="23.6328125" style="84" customWidth="1"/>
    <col min="14856" max="14857" width="11.6328125" style="84" customWidth="1"/>
    <col min="14858" max="14858" width="8.81640625" style="84"/>
    <col min="14859" max="14861" width="10.6328125" style="84" customWidth="1"/>
    <col min="14862" max="14867" width="8.81640625" style="84"/>
    <col min="14868" max="14869" width="9.6328125" style="84" customWidth="1"/>
    <col min="14870" max="15104" width="8.81640625" style="84"/>
    <col min="15105" max="15105" width="12.6328125" style="84" customWidth="1"/>
    <col min="15106" max="15106" width="23.6328125" style="84" customWidth="1"/>
    <col min="15107" max="15108" width="11.6328125" style="84" customWidth="1"/>
    <col min="15109" max="15109" width="4.6328125" style="84" customWidth="1"/>
    <col min="15110" max="15110" width="12.6328125" style="84" customWidth="1"/>
    <col min="15111" max="15111" width="23.6328125" style="84" customWidth="1"/>
    <col min="15112" max="15113" width="11.6328125" style="84" customWidth="1"/>
    <col min="15114" max="15114" width="8.81640625" style="84"/>
    <col min="15115" max="15117" width="10.6328125" style="84" customWidth="1"/>
    <col min="15118" max="15123" width="8.81640625" style="84"/>
    <col min="15124" max="15125" width="9.6328125" style="84" customWidth="1"/>
    <col min="15126" max="15360" width="8.81640625" style="84"/>
    <col min="15361" max="15361" width="12.6328125" style="84" customWidth="1"/>
    <col min="15362" max="15362" width="23.6328125" style="84" customWidth="1"/>
    <col min="15363" max="15364" width="11.6328125" style="84" customWidth="1"/>
    <col min="15365" max="15365" width="4.6328125" style="84" customWidth="1"/>
    <col min="15366" max="15366" width="12.6328125" style="84" customWidth="1"/>
    <col min="15367" max="15367" width="23.6328125" style="84" customWidth="1"/>
    <col min="15368" max="15369" width="11.6328125" style="84" customWidth="1"/>
    <col min="15370" max="15370" width="8.81640625" style="84"/>
    <col min="15371" max="15373" width="10.6328125" style="84" customWidth="1"/>
    <col min="15374" max="15379" width="8.81640625" style="84"/>
    <col min="15380" max="15381" width="9.6328125" style="84" customWidth="1"/>
    <col min="15382" max="15616" width="8.81640625" style="84"/>
    <col min="15617" max="15617" width="12.6328125" style="84" customWidth="1"/>
    <col min="15618" max="15618" width="23.6328125" style="84" customWidth="1"/>
    <col min="15619" max="15620" width="11.6328125" style="84" customWidth="1"/>
    <col min="15621" max="15621" width="4.6328125" style="84" customWidth="1"/>
    <col min="15622" max="15622" width="12.6328125" style="84" customWidth="1"/>
    <col min="15623" max="15623" width="23.6328125" style="84" customWidth="1"/>
    <col min="15624" max="15625" width="11.6328125" style="84" customWidth="1"/>
    <col min="15626" max="15626" width="8.81640625" style="84"/>
    <col min="15627" max="15629" width="10.6328125" style="84" customWidth="1"/>
    <col min="15630" max="15635" width="8.81640625" style="84"/>
    <col min="15636" max="15637" width="9.6328125" style="84" customWidth="1"/>
    <col min="15638" max="15872" width="8.81640625" style="84"/>
    <col min="15873" max="15873" width="12.6328125" style="84" customWidth="1"/>
    <col min="15874" max="15874" width="23.6328125" style="84" customWidth="1"/>
    <col min="15875" max="15876" width="11.6328125" style="84" customWidth="1"/>
    <col min="15877" max="15877" width="4.6328125" style="84" customWidth="1"/>
    <col min="15878" max="15878" width="12.6328125" style="84" customWidth="1"/>
    <col min="15879" max="15879" width="23.6328125" style="84" customWidth="1"/>
    <col min="15880" max="15881" width="11.6328125" style="84" customWidth="1"/>
    <col min="15882" max="15882" width="8.81640625" style="84"/>
    <col min="15883" max="15885" width="10.6328125" style="84" customWidth="1"/>
    <col min="15886" max="15891" width="8.81640625" style="84"/>
    <col min="15892" max="15893" width="9.6328125" style="84" customWidth="1"/>
    <col min="15894" max="16128" width="8.81640625" style="84"/>
    <col min="16129" max="16129" width="12.6328125" style="84" customWidth="1"/>
    <col min="16130" max="16130" width="23.6328125" style="84" customWidth="1"/>
    <col min="16131" max="16132" width="11.6328125" style="84" customWidth="1"/>
    <col min="16133" max="16133" width="4.6328125" style="84" customWidth="1"/>
    <col min="16134" max="16134" width="12.6328125" style="84" customWidth="1"/>
    <col min="16135" max="16135" width="23.6328125" style="84" customWidth="1"/>
    <col min="16136" max="16137" width="11.6328125" style="84" customWidth="1"/>
    <col min="16138" max="16138" width="8.81640625" style="84"/>
    <col min="16139" max="16141" width="10.6328125" style="84" customWidth="1"/>
    <col min="16142" max="16147" width="8.81640625" style="84"/>
    <col min="16148" max="16149" width="9.6328125" style="84" customWidth="1"/>
    <col min="16150" max="16384" width="8.81640625" style="84"/>
  </cols>
  <sheetData>
    <row r="1" spans="1:13" s="2" customFormat="1" ht="23" customHeight="1" thickBot="1" x14ac:dyDescent="0.4">
      <c r="A1" s="408" t="s">
        <v>85</v>
      </c>
      <c r="B1" s="409"/>
      <c r="C1" s="409"/>
      <c r="D1" s="409"/>
      <c r="E1" s="409"/>
      <c r="F1" s="409"/>
      <c r="G1" s="409"/>
      <c r="H1" s="409"/>
      <c r="I1" s="410"/>
      <c r="J1" s="1"/>
    </row>
    <row r="2" spans="1:13" s="4" customFormat="1" ht="12" customHeight="1" x14ac:dyDescent="0.35">
      <c r="A2" s="3"/>
      <c r="C2" s="5"/>
      <c r="D2" s="6"/>
      <c r="E2" s="7"/>
      <c r="F2" s="132"/>
      <c r="G2" s="132"/>
      <c r="H2" s="132"/>
      <c r="I2" s="132"/>
      <c r="K2" s="8" t="s">
        <v>0</v>
      </c>
      <c r="L2" s="411" t="s">
        <v>1</v>
      </c>
      <c r="M2" s="412"/>
    </row>
    <row r="3" spans="1:13" s="16" customFormat="1" x14ac:dyDescent="0.3">
      <c r="A3" s="413" t="s">
        <v>2</v>
      </c>
      <c r="B3" s="9" t="s">
        <v>3</v>
      </c>
      <c r="C3" s="10">
        <v>600</v>
      </c>
      <c r="D3" s="11" t="s">
        <v>4</v>
      </c>
      <c r="E3" s="130" t="s">
        <v>83</v>
      </c>
      <c r="F3" s="131"/>
      <c r="G3" s="116"/>
      <c r="H3" s="116"/>
      <c r="I3" s="12"/>
      <c r="J3" s="12"/>
      <c r="K3" s="13"/>
      <c r="L3" s="14" t="s">
        <v>5</v>
      </c>
      <c r="M3" s="15" t="s">
        <v>6</v>
      </c>
    </row>
    <row r="4" spans="1:13" s="12" customFormat="1" x14ac:dyDescent="0.3">
      <c r="A4" s="414"/>
      <c r="B4" s="17" t="s">
        <v>7</v>
      </c>
      <c r="C4" s="18">
        <v>6</v>
      </c>
      <c r="D4" s="19" t="s">
        <v>8</v>
      </c>
      <c r="E4" s="130" t="s">
        <v>84</v>
      </c>
      <c r="F4" s="131"/>
      <c r="G4" s="117" t="s">
        <v>80</v>
      </c>
      <c r="H4" s="117">
        <v>67</v>
      </c>
      <c r="K4" s="20"/>
      <c r="L4" s="21" t="s">
        <v>9</v>
      </c>
      <c r="M4" s="22" t="s">
        <v>9</v>
      </c>
    </row>
    <row r="5" spans="1:13" s="12" customFormat="1" ht="15" x14ac:dyDescent="0.3">
      <c r="A5" s="414"/>
      <c r="B5" s="17" t="s">
        <v>10</v>
      </c>
      <c r="C5" s="23">
        <v>0.8</v>
      </c>
      <c r="D5" s="19" t="s">
        <v>11</v>
      </c>
      <c r="E5" s="119"/>
      <c r="G5" s="117" t="s">
        <v>89</v>
      </c>
      <c r="H5" s="117">
        <v>138</v>
      </c>
      <c r="K5" s="20">
        <v>0</v>
      </c>
      <c r="L5" s="24">
        <v>1</v>
      </c>
      <c r="M5" s="25">
        <v>1</v>
      </c>
    </row>
    <row r="6" spans="1:13" s="12" customFormat="1" x14ac:dyDescent="0.3">
      <c r="A6" s="414"/>
      <c r="B6" s="17" t="s">
        <v>0</v>
      </c>
      <c r="C6" s="26">
        <v>0.02</v>
      </c>
      <c r="D6" s="19"/>
      <c r="E6" s="119"/>
      <c r="G6" s="117" t="s">
        <v>90</v>
      </c>
      <c r="H6" s="117">
        <v>250</v>
      </c>
      <c r="K6" s="20">
        <v>1</v>
      </c>
      <c r="L6" s="24">
        <v>0.97</v>
      </c>
      <c r="M6" s="25">
        <v>1.03</v>
      </c>
    </row>
    <row r="7" spans="1:13" s="12" customFormat="1" x14ac:dyDescent="0.3">
      <c r="A7" s="414"/>
      <c r="B7" s="17" t="s">
        <v>12</v>
      </c>
      <c r="C7" s="18">
        <v>36</v>
      </c>
      <c r="D7" s="19" t="s">
        <v>13</v>
      </c>
      <c r="E7" s="118"/>
      <c r="G7" s="117" t="s">
        <v>88</v>
      </c>
      <c r="H7" s="117">
        <v>85</v>
      </c>
      <c r="K7" s="20">
        <v>2</v>
      </c>
      <c r="L7" s="24">
        <v>0.94</v>
      </c>
      <c r="M7" s="25">
        <v>1.06</v>
      </c>
    </row>
    <row r="8" spans="1:13" s="12" customFormat="1" x14ac:dyDescent="0.3">
      <c r="A8" s="414"/>
      <c r="B8" s="17" t="s">
        <v>14</v>
      </c>
      <c r="C8" s="18">
        <v>24</v>
      </c>
      <c r="D8" s="19" t="s">
        <v>13</v>
      </c>
      <c r="E8" s="118">
        <f>C8/12</f>
        <v>2</v>
      </c>
      <c r="G8" s="117" t="s">
        <v>87</v>
      </c>
      <c r="H8" s="117">
        <v>137</v>
      </c>
      <c r="K8" s="20">
        <v>3</v>
      </c>
      <c r="L8" s="24">
        <v>0.91500000000000004</v>
      </c>
      <c r="M8" s="25">
        <v>1.1000000000000001</v>
      </c>
    </row>
    <row r="9" spans="1:13" s="12" customFormat="1" x14ac:dyDescent="0.3">
      <c r="A9" s="414"/>
      <c r="B9" s="17" t="s">
        <v>15</v>
      </c>
      <c r="C9" s="18">
        <v>6</v>
      </c>
      <c r="D9" s="19" t="s">
        <v>16</v>
      </c>
      <c r="E9" s="120">
        <f>C7-C8</f>
        <v>12</v>
      </c>
      <c r="G9" s="117" t="s">
        <v>86</v>
      </c>
      <c r="H9" s="117">
        <v>85</v>
      </c>
      <c r="K9" s="20">
        <v>4</v>
      </c>
      <c r="L9" s="24">
        <v>0.89</v>
      </c>
      <c r="M9" s="25">
        <v>1.1399999999999999</v>
      </c>
    </row>
    <row r="10" spans="1:13" s="12" customFormat="1" x14ac:dyDescent="0.3">
      <c r="A10" s="415"/>
      <c r="B10" s="27" t="s">
        <v>17</v>
      </c>
      <c r="C10" s="28" t="str">
        <f>IF(C7&gt;=C8,"Subsurface","Mounded")</f>
        <v>Subsurface</v>
      </c>
      <c r="D10" s="29"/>
      <c r="E10" s="121"/>
      <c r="G10" s="121"/>
      <c r="H10" s="121"/>
      <c r="K10" s="20">
        <v>5</v>
      </c>
      <c r="L10" s="24">
        <v>0.875</v>
      </c>
      <c r="M10" s="25">
        <v>1.18</v>
      </c>
    </row>
    <row r="11" spans="1:13" s="12" customFormat="1" x14ac:dyDescent="0.3">
      <c r="A11" s="416"/>
      <c r="B11" s="416"/>
      <c r="C11" s="416"/>
      <c r="D11" s="416"/>
      <c r="E11" s="121"/>
      <c r="F11" s="30"/>
      <c r="G11" s="376"/>
      <c r="H11" s="377"/>
      <c r="I11" s="30"/>
      <c r="K11" s="20">
        <v>6</v>
      </c>
      <c r="L11" s="24">
        <v>0.85</v>
      </c>
      <c r="M11" s="25">
        <v>1.22</v>
      </c>
    </row>
    <row r="12" spans="1:13" s="12" customFormat="1" ht="13" customHeight="1" x14ac:dyDescent="0.3">
      <c r="A12" s="413" t="s">
        <v>97</v>
      </c>
      <c r="B12" s="9" t="s">
        <v>100</v>
      </c>
      <c r="C12" s="31">
        <f>MAX((ROUNDDOWN(C3*2,-2)),700)</f>
        <v>1200</v>
      </c>
      <c r="D12" s="11" t="s">
        <v>18</v>
      </c>
      <c r="E12" s="121"/>
      <c r="F12" s="38"/>
      <c r="G12" s="38"/>
      <c r="H12" s="38"/>
      <c r="I12" s="38"/>
      <c r="K12" s="20">
        <v>7</v>
      </c>
      <c r="L12" s="24">
        <v>0.83</v>
      </c>
      <c r="M12" s="25">
        <v>1.27</v>
      </c>
    </row>
    <row r="13" spans="1:13" s="12" customFormat="1" ht="12.75" customHeight="1" x14ac:dyDescent="0.3">
      <c r="A13" s="414"/>
      <c r="B13" s="32" t="s">
        <v>20</v>
      </c>
      <c r="C13" s="33">
        <v>750</v>
      </c>
      <c r="D13" s="34" t="s">
        <v>18</v>
      </c>
      <c r="E13" s="118" t="s">
        <v>21</v>
      </c>
      <c r="F13" s="417" t="s">
        <v>19</v>
      </c>
      <c r="G13" s="418"/>
      <c r="H13" s="418"/>
      <c r="I13" s="419"/>
      <c r="K13" s="20">
        <v>8</v>
      </c>
      <c r="L13" s="24">
        <v>0.81</v>
      </c>
      <c r="M13" s="25">
        <v>1.32</v>
      </c>
    </row>
    <row r="14" spans="1:13" s="12" customFormat="1" ht="12.75" customHeight="1" x14ac:dyDescent="0.3">
      <c r="A14" s="415"/>
      <c r="B14" s="35" t="s">
        <v>96</v>
      </c>
      <c r="C14" s="36">
        <f>MAX(C12,C13)</f>
        <v>1200</v>
      </c>
      <c r="D14" s="37" t="s">
        <v>18</v>
      </c>
      <c r="E14" s="118" t="s">
        <v>22</v>
      </c>
      <c r="F14" s="38"/>
      <c r="G14" s="38"/>
      <c r="H14" s="38"/>
      <c r="I14" s="38"/>
      <c r="K14" s="20">
        <v>9</v>
      </c>
      <c r="L14" s="24">
        <v>0.79</v>
      </c>
      <c r="M14" s="25">
        <v>1.37</v>
      </c>
    </row>
    <row r="15" spans="1:13" s="12" customFormat="1" x14ac:dyDescent="0.3">
      <c r="A15" s="39"/>
      <c r="B15" s="40"/>
      <c r="C15" s="41"/>
      <c r="D15" s="42"/>
      <c r="E15" s="121"/>
      <c r="F15" s="43" t="s">
        <v>99</v>
      </c>
      <c r="G15" s="44"/>
      <c r="H15" s="44"/>
      <c r="I15" s="43" t="s">
        <v>344</v>
      </c>
      <c r="K15" s="20">
        <v>10</v>
      </c>
      <c r="L15" s="24">
        <v>0.77</v>
      </c>
      <c r="M15" s="25">
        <v>1.43</v>
      </c>
    </row>
    <row r="16" spans="1:13" s="12" customFormat="1" x14ac:dyDescent="0.3">
      <c r="A16" s="413" t="s">
        <v>92</v>
      </c>
      <c r="B16" s="9" t="s">
        <v>101</v>
      </c>
      <c r="C16" s="45">
        <f>MAX((ROUNDDOWN(C3*1,-1)),500)</f>
        <v>600</v>
      </c>
      <c r="D16" s="46" t="s">
        <v>18</v>
      </c>
      <c r="E16" s="118" t="s">
        <v>80</v>
      </c>
      <c r="F16" s="44"/>
      <c r="G16" s="44"/>
      <c r="H16" s="44"/>
      <c r="I16" s="44"/>
      <c r="K16" s="20">
        <v>11</v>
      </c>
      <c r="L16" s="24">
        <v>0.75</v>
      </c>
      <c r="M16" s="25">
        <v>1.49</v>
      </c>
    </row>
    <row r="17" spans="1:13" s="12" customFormat="1" ht="12.75" customHeight="1" x14ac:dyDescent="0.3">
      <c r="A17" s="414"/>
      <c r="B17" s="32" t="s">
        <v>20</v>
      </c>
      <c r="C17" s="33">
        <v>500</v>
      </c>
      <c r="D17" s="34" t="s">
        <v>18</v>
      </c>
      <c r="E17" s="118" t="s">
        <v>81</v>
      </c>
      <c r="F17" s="413" t="s">
        <v>23</v>
      </c>
      <c r="G17" s="47" t="s">
        <v>24</v>
      </c>
      <c r="H17" s="31">
        <v>3</v>
      </c>
      <c r="I17" s="48" t="s">
        <v>25</v>
      </c>
      <c r="K17" s="20">
        <v>12</v>
      </c>
      <c r="L17" s="24">
        <v>0.73499999999999999</v>
      </c>
      <c r="M17" s="25">
        <v>1.56</v>
      </c>
    </row>
    <row r="18" spans="1:13" s="12" customFormat="1" ht="15" x14ac:dyDescent="0.3">
      <c r="A18" s="415"/>
      <c r="B18" s="49" t="s">
        <v>93</v>
      </c>
      <c r="C18" s="36">
        <f>MAX(C16,C17)</f>
        <v>600</v>
      </c>
      <c r="D18" s="37" t="s">
        <v>18</v>
      </c>
      <c r="E18" s="118" t="s">
        <v>82</v>
      </c>
      <c r="F18" s="414"/>
      <c r="G18" s="50" t="s">
        <v>26</v>
      </c>
      <c r="H18" s="51">
        <v>2</v>
      </c>
      <c r="I18" s="52">
        <v>4</v>
      </c>
      <c r="K18" s="20">
        <v>13</v>
      </c>
      <c r="L18" s="24">
        <v>0.72</v>
      </c>
      <c r="M18" s="25">
        <v>1.64</v>
      </c>
    </row>
    <row r="19" spans="1:13" s="12" customFormat="1" x14ac:dyDescent="0.3">
      <c r="A19" s="428" t="s">
        <v>98</v>
      </c>
      <c r="B19" s="428"/>
      <c r="C19" s="428"/>
      <c r="D19" s="428"/>
      <c r="E19" s="118"/>
      <c r="F19" s="414"/>
      <c r="G19" s="17" t="s">
        <v>27</v>
      </c>
      <c r="H19" s="53">
        <f>IF(C9/H18&gt;=4.5,C9/H18,4.5)</f>
        <v>4.5</v>
      </c>
      <c r="I19" s="54" t="s">
        <v>28</v>
      </c>
      <c r="K19" s="20">
        <v>14</v>
      </c>
      <c r="L19" s="24">
        <v>0.70499999999999996</v>
      </c>
      <c r="M19" s="25">
        <v>1.72</v>
      </c>
    </row>
    <row r="20" spans="1:13" s="12" customFormat="1" x14ac:dyDescent="0.3">
      <c r="A20" s="413" t="s">
        <v>102</v>
      </c>
      <c r="B20" s="55" t="s">
        <v>29</v>
      </c>
      <c r="C20" s="33" t="s">
        <v>83</v>
      </c>
      <c r="D20" s="56"/>
      <c r="E20" s="121">
        <f>IF(C20="Aerobic",ROUNDUP((C3/240),0),IF(C20="Dn (Recirc)",ROUNDUP(C3/120,0),IF(C20="Commercial",EVEN(C3/120),ROUNDUP(C3/150,0))))</f>
        <v>4</v>
      </c>
      <c r="F20" s="414"/>
      <c r="G20" s="17" t="s">
        <v>30</v>
      </c>
      <c r="H20" s="53">
        <f>C3/C9</f>
        <v>100</v>
      </c>
      <c r="I20" s="54" t="s">
        <v>28</v>
      </c>
      <c r="K20" s="20">
        <v>15</v>
      </c>
      <c r="L20" s="24">
        <v>0.69</v>
      </c>
      <c r="M20" s="25">
        <v>1.82</v>
      </c>
    </row>
    <row r="21" spans="1:13" s="12" customFormat="1" x14ac:dyDescent="0.3">
      <c r="A21" s="414"/>
      <c r="B21" s="32" t="s">
        <v>91</v>
      </c>
      <c r="C21" s="115" t="s">
        <v>80</v>
      </c>
      <c r="D21" s="57"/>
      <c r="E21" s="121">
        <f>IF(C20="Septic",ROUNDUP((C4*0.17)/0.3755,0),IF(C20="Dn (Recirc)",ROUNDUP((C4*0.17)/0.3755,0),IF(C20="Commercial",EVEN((C4*0.17)/0.3755),ROUNDUP(C4/4,0))))</f>
        <v>2</v>
      </c>
      <c r="F21" s="414"/>
      <c r="G21" s="17" t="s">
        <v>31</v>
      </c>
      <c r="H21" s="53">
        <f>C9/C5</f>
        <v>7.5</v>
      </c>
      <c r="I21" s="58" t="s">
        <v>32</v>
      </c>
      <c r="K21" s="20">
        <v>16</v>
      </c>
      <c r="L21" s="24">
        <v>0.67500000000000004</v>
      </c>
      <c r="M21" s="25">
        <v>1.92</v>
      </c>
    </row>
    <row r="22" spans="1:13" s="12" customFormat="1" ht="15" customHeight="1" x14ac:dyDescent="0.3">
      <c r="A22" s="415"/>
      <c r="B22" s="35" t="s">
        <v>33</v>
      </c>
      <c r="C22" s="36">
        <f>ROUNDUP((C3/6)/(LOOKUP(C21,G4:G9,H4:H9)),0)</f>
        <v>2</v>
      </c>
      <c r="D22" s="59"/>
      <c r="E22" s="121">
        <f>MAX(E20,E21)</f>
        <v>4</v>
      </c>
      <c r="F22" s="414"/>
      <c r="G22" s="17" t="s">
        <v>34</v>
      </c>
      <c r="H22" s="60">
        <f>MAX((C8-C7),I18)</f>
        <v>4</v>
      </c>
      <c r="I22" s="58" t="s">
        <v>35</v>
      </c>
      <c r="K22" s="20">
        <v>17</v>
      </c>
      <c r="L22" s="24">
        <v>0.66</v>
      </c>
      <c r="M22" s="25">
        <v>2.04</v>
      </c>
    </row>
    <row r="23" spans="1:13" s="12" customFormat="1" ht="15" customHeight="1" x14ac:dyDescent="0.3">
      <c r="B23" s="40"/>
      <c r="C23" s="61"/>
      <c r="D23" s="62"/>
      <c r="E23" s="121"/>
      <c r="F23" s="414"/>
      <c r="G23" s="17" t="s">
        <v>36</v>
      </c>
      <c r="H23" s="60">
        <f>ROUNDUP(H22+(C6*(H19*12)),0)</f>
        <v>6</v>
      </c>
      <c r="I23" s="58" t="s">
        <v>35</v>
      </c>
      <c r="K23" s="20">
        <v>18</v>
      </c>
      <c r="L23" s="24">
        <v>0.65</v>
      </c>
      <c r="M23" s="25">
        <v>2.17</v>
      </c>
    </row>
    <row r="24" spans="1:13" s="12" customFormat="1" ht="12.75" customHeight="1" x14ac:dyDescent="0.3">
      <c r="A24" s="413" t="s">
        <v>37</v>
      </c>
      <c r="B24" s="63" t="s">
        <v>38</v>
      </c>
      <c r="C24" s="10">
        <v>1</v>
      </c>
      <c r="D24" s="11"/>
      <c r="E24" s="118" t="s">
        <v>39</v>
      </c>
      <c r="F24" s="414"/>
      <c r="G24" s="17" t="s">
        <v>40</v>
      </c>
      <c r="H24" s="60">
        <v>6</v>
      </c>
      <c r="I24" s="58" t="s">
        <v>35</v>
      </c>
      <c r="K24" s="20">
        <v>19</v>
      </c>
      <c r="L24" s="24">
        <v>0.64</v>
      </c>
      <c r="M24" s="25">
        <v>2.33</v>
      </c>
    </row>
    <row r="25" spans="1:13" s="12" customFormat="1" x14ac:dyDescent="0.3">
      <c r="A25" s="414"/>
      <c r="B25" s="64" t="s">
        <v>41</v>
      </c>
      <c r="C25" s="65">
        <f>C27/C26</f>
        <v>7.5</v>
      </c>
      <c r="D25" s="19" t="s">
        <v>28</v>
      </c>
      <c r="E25" s="118" t="s">
        <v>42</v>
      </c>
      <c r="F25" s="414"/>
      <c r="G25" s="17" t="s">
        <v>43</v>
      </c>
      <c r="H25" s="60">
        <v>6</v>
      </c>
      <c r="I25" s="58" t="s">
        <v>35</v>
      </c>
      <c r="J25" s="66"/>
      <c r="K25" s="20">
        <v>20</v>
      </c>
      <c r="L25" s="24">
        <v>0.625</v>
      </c>
      <c r="M25" s="25">
        <v>2.5</v>
      </c>
    </row>
    <row r="26" spans="1:13" s="12" customFormat="1" ht="12.75" customHeight="1" x14ac:dyDescent="0.3">
      <c r="A26" s="414"/>
      <c r="B26" s="64" t="s">
        <v>44</v>
      </c>
      <c r="C26" s="65">
        <f>(C3/C24)/C9</f>
        <v>100</v>
      </c>
      <c r="D26" s="19" t="s">
        <v>28</v>
      </c>
      <c r="E26" s="122">
        <v>1.6</v>
      </c>
      <c r="F26" s="414"/>
      <c r="G26" s="17" t="s">
        <v>45</v>
      </c>
      <c r="H26" s="60">
        <v>6</v>
      </c>
      <c r="I26" s="58" t="s">
        <v>35</v>
      </c>
      <c r="J26" s="66"/>
      <c r="K26" s="20">
        <v>21</v>
      </c>
      <c r="L26" s="24">
        <v>0.61</v>
      </c>
      <c r="M26" s="25">
        <v>2.7</v>
      </c>
    </row>
    <row r="27" spans="1:13" s="12" customFormat="1" ht="13.5" customHeight="1" x14ac:dyDescent="0.3">
      <c r="A27" s="414"/>
      <c r="B27" s="64" t="s">
        <v>46</v>
      </c>
      <c r="C27" s="67">
        <f>(C3/C24)/C5</f>
        <v>750</v>
      </c>
      <c r="D27" s="19" t="s">
        <v>47</v>
      </c>
      <c r="E27" s="122">
        <v>2</v>
      </c>
      <c r="F27" s="414"/>
      <c r="G27" s="17" t="s">
        <v>48</v>
      </c>
      <c r="H27" s="53">
        <f>MAX(E41,E42)</f>
        <v>4.7700000000000005</v>
      </c>
      <c r="I27" s="58" t="s">
        <v>49</v>
      </c>
      <c r="J27" s="66"/>
      <c r="K27" s="20">
        <v>22</v>
      </c>
      <c r="L27" s="24">
        <v>0.6</v>
      </c>
      <c r="M27" s="25">
        <v>2.94</v>
      </c>
    </row>
    <row r="28" spans="1:13" s="12" customFormat="1" x14ac:dyDescent="0.3">
      <c r="A28" s="415"/>
      <c r="B28" s="68" t="s">
        <v>94</v>
      </c>
      <c r="C28" s="69">
        <f>IF(C24&gt;1,"Contact Anua",IF(C22=1,"N/A",IF(D28="end-to-end",(C26-(C22*7.08))/((C22-1)+(2*0.5)),(C26-(C22*4.58))/((C22-1)+(2*0.5)))))</f>
        <v>42.92</v>
      </c>
      <c r="D28" s="70" t="s">
        <v>39</v>
      </c>
      <c r="E28" s="118" t="s">
        <v>50</v>
      </c>
      <c r="F28" s="414"/>
      <c r="G28" s="17" t="s">
        <v>51</v>
      </c>
      <c r="H28" s="53">
        <f>IF(H27=G34,I34,IF(H27&gt;=(H21-H19),I34,H34))</f>
        <v>3.76</v>
      </c>
      <c r="I28" s="58" t="s">
        <v>49</v>
      </c>
      <c r="J28" s="66"/>
      <c r="K28" s="20">
        <v>23</v>
      </c>
      <c r="L28" s="24">
        <v>0.59</v>
      </c>
      <c r="M28" s="25">
        <v>3.23</v>
      </c>
    </row>
    <row r="29" spans="1:13" s="12" customFormat="1" ht="12.75" customHeight="1" x14ac:dyDescent="0.3">
      <c r="A29" s="71"/>
      <c r="B29" s="64"/>
      <c r="C29" s="72"/>
      <c r="D29" s="73"/>
      <c r="E29" s="119" t="s">
        <v>52</v>
      </c>
      <c r="F29" s="414"/>
      <c r="G29" s="17" t="s">
        <v>53</v>
      </c>
      <c r="H29" s="53">
        <f>(3*(((H22+H23)/2)+(H24+H26)))/12</f>
        <v>4.25</v>
      </c>
      <c r="I29" s="58" t="s">
        <v>28</v>
      </c>
      <c r="K29" s="20">
        <v>24</v>
      </c>
      <c r="L29" s="24">
        <v>0.57999999999999996</v>
      </c>
      <c r="M29" s="25">
        <v>3.57</v>
      </c>
    </row>
    <row r="30" spans="1:13" s="12" customFormat="1" ht="13.5" thickBot="1" x14ac:dyDescent="0.35">
      <c r="A30" s="420" t="s">
        <v>54</v>
      </c>
      <c r="B30" s="9" t="s">
        <v>55</v>
      </c>
      <c r="C30" s="74" t="s">
        <v>50</v>
      </c>
      <c r="D30" s="11"/>
      <c r="E30" s="119" t="s">
        <v>56</v>
      </c>
      <c r="F30" s="414"/>
      <c r="G30" s="17" t="s">
        <v>57</v>
      </c>
      <c r="H30" s="53">
        <f>H19+H27+H28</f>
        <v>13.03</v>
      </c>
      <c r="I30" s="58" t="s">
        <v>28</v>
      </c>
      <c r="K30" s="75">
        <v>25</v>
      </c>
      <c r="L30" s="76">
        <v>0.56999999999999995</v>
      </c>
      <c r="M30" s="77">
        <v>4</v>
      </c>
    </row>
    <row r="31" spans="1:13" s="12" customFormat="1" x14ac:dyDescent="0.3">
      <c r="A31" s="421"/>
      <c r="B31" s="17" t="s">
        <v>58</v>
      </c>
      <c r="C31" s="78">
        <v>24</v>
      </c>
      <c r="D31" s="79">
        <v>12</v>
      </c>
      <c r="E31" s="123">
        <f>C31/12</f>
        <v>2</v>
      </c>
      <c r="F31" s="414"/>
      <c r="G31" s="17" t="s">
        <v>59</v>
      </c>
      <c r="H31" s="53">
        <f>H20+(2*H29)</f>
        <v>108.5</v>
      </c>
      <c r="I31" s="58" t="s">
        <v>28</v>
      </c>
      <c r="K31" s="64"/>
      <c r="L31" s="64"/>
      <c r="M31" s="64"/>
    </row>
    <row r="32" spans="1:13" s="12" customFormat="1" ht="13.5" thickBot="1" x14ac:dyDescent="0.35">
      <c r="A32" s="421"/>
      <c r="B32" s="17" t="s">
        <v>60</v>
      </c>
      <c r="C32" s="65">
        <f>IF(C30="Bottom",(ROUNDUP(((C34/C33)/E31),0)),IF(C30="Sidewall",(ROUNDUP(((C34/C33)/E32),0)),(ROUNDUP(((C34/C33)/E33),0))))</f>
        <v>4</v>
      </c>
      <c r="D32" s="19"/>
      <c r="E32" s="123">
        <f>(D31*2)/12</f>
        <v>2</v>
      </c>
      <c r="F32" s="414"/>
      <c r="G32" s="32" t="s">
        <v>95</v>
      </c>
      <c r="H32" s="129">
        <f>IF(C22=1,"N/A",(H20-(C22*7.08))/((C22-1)+(2*0.5)))</f>
        <v>42.92</v>
      </c>
      <c r="I32" s="58" t="s">
        <v>61</v>
      </c>
      <c r="K32" s="64"/>
      <c r="L32" s="64"/>
      <c r="M32" s="64"/>
    </row>
    <row r="33" spans="1:22" s="12" customFormat="1" ht="15" x14ac:dyDescent="0.3">
      <c r="A33" s="421"/>
      <c r="B33" s="17" t="s">
        <v>62</v>
      </c>
      <c r="C33" s="65">
        <f>C3/C9</f>
        <v>100</v>
      </c>
      <c r="D33" s="19" t="s">
        <v>63</v>
      </c>
      <c r="E33" s="123">
        <f>E31+E32</f>
        <v>4</v>
      </c>
      <c r="F33" s="415"/>
      <c r="G33" s="80" t="s">
        <v>64</v>
      </c>
      <c r="H33" s="69">
        <f>H30*H31</f>
        <v>1413.7549999999999</v>
      </c>
      <c r="I33" s="29" t="s">
        <v>47</v>
      </c>
      <c r="K33" s="405" t="s">
        <v>65</v>
      </c>
      <c r="L33" s="406"/>
      <c r="M33" s="407"/>
    </row>
    <row r="34" spans="1:22" s="12" customFormat="1" ht="13.5" customHeight="1" x14ac:dyDescent="0.3">
      <c r="A34" s="422"/>
      <c r="B34" s="80" t="s">
        <v>66</v>
      </c>
      <c r="C34" s="81">
        <f>C3/C5</f>
        <v>750</v>
      </c>
      <c r="D34" s="29" t="s">
        <v>47</v>
      </c>
      <c r="E34" s="124">
        <f>G34/(G34+I34)</f>
        <v>0.5592028135990621</v>
      </c>
      <c r="F34" s="82">
        <f>IF(C6&lt;=4%,(((H21-H19)*E34)*M35),(((H21-H19)/2)*M35))</f>
        <v>1.7782649472450176</v>
      </c>
      <c r="G34" s="83">
        <f>((3*(H23+H24+H25))/12)*M35</f>
        <v>4.7700000000000005</v>
      </c>
      <c r="H34" s="83">
        <f>IF(C6&lt;=4%,(((H21-H19)*E35)*L35),(((H21-H19)/2)*L35))</f>
        <v>1.2430480656506446</v>
      </c>
      <c r="I34" s="83">
        <f>((3*(H22+H24+H25))/12)*L35</f>
        <v>3.76</v>
      </c>
      <c r="J34" s="84"/>
      <c r="K34" s="85" t="s">
        <v>67</v>
      </c>
      <c r="L34" s="86" t="s">
        <v>5</v>
      </c>
      <c r="M34" s="87" t="s">
        <v>6</v>
      </c>
    </row>
    <row r="35" spans="1:22" ht="12.75" customHeight="1" thickBot="1" x14ac:dyDescent="0.35">
      <c r="A35" s="88"/>
      <c r="B35" s="88"/>
      <c r="C35" s="88"/>
      <c r="D35" s="88"/>
      <c r="E35" s="125">
        <f>I34/(G34+I34)</f>
        <v>0.44079718640093779</v>
      </c>
      <c r="F35" s="429" t="s">
        <v>68</v>
      </c>
      <c r="G35" s="430"/>
      <c r="H35" s="430"/>
      <c r="I35" s="431"/>
      <c r="K35" s="89">
        <f>C6</f>
        <v>0.02</v>
      </c>
      <c r="L35" s="90">
        <f>LOOKUP($C$6*100,$K$5:$K$30,L$5:L$30)</f>
        <v>0.94</v>
      </c>
      <c r="M35" s="91">
        <f>LOOKUP($C$6*100,$K$5:$K$30,M$5:M$30)</f>
        <v>1.06</v>
      </c>
    </row>
    <row r="36" spans="1:22" x14ac:dyDescent="0.3">
      <c r="A36" s="432" t="s">
        <v>69</v>
      </c>
      <c r="B36" s="9" t="s">
        <v>55</v>
      </c>
      <c r="C36" s="10" t="s">
        <v>50</v>
      </c>
      <c r="D36" s="11"/>
      <c r="E36" s="123">
        <f>C37/12</f>
        <v>3</v>
      </c>
      <c r="F36" s="435"/>
      <c r="G36" s="436"/>
      <c r="H36" s="436"/>
      <c r="I36" s="437"/>
    </row>
    <row r="37" spans="1:22" x14ac:dyDescent="0.3">
      <c r="A37" s="433"/>
      <c r="B37" s="17" t="s">
        <v>70</v>
      </c>
      <c r="C37" s="92">
        <v>36</v>
      </c>
      <c r="D37" s="93">
        <v>7</v>
      </c>
      <c r="E37" s="123">
        <f>(D37*2)/12</f>
        <v>1.1666666666666667</v>
      </c>
      <c r="F37" s="435"/>
      <c r="G37" s="436"/>
      <c r="H37" s="436"/>
      <c r="I37" s="437"/>
    </row>
    <row r="38" spans="1:22" x14ac:dyDescent="0.3">
      <c r="A38" s="433"/>
      <c r="B38" s="17" t="s">
        <v>71</v>
      </c>
      <c r="C38" s="92">
        <v>120</v>
      </c>
      <c r="D38" s="94">
        <v>5</v>
      </c>
      <c r="E38" s="126">
        <f>C38/12</f>
        <v>10</v>
      </c>
      <c r="F38" s="435"/>
      <c r="G38" s="436"/>
      <c r="H38" s="436"/>
      <c r="I38" s="437"/>
    </row>
    <row r="39" spans="1:22" x14ac:dyDescent="0.3">
      <c r="A39" s="433"/>
      <c r="B39" s="17" t="s">
        <v>60</v>
      </c>
      <c r="C39" s="65">
        <f>IF(C36="Bottom",(ROUNDUP(((C41/C40)/E36),0)),IF(C36="Sidewall",(ROUNDUP(((C41/C40)/E37),0)),(ROUNDUP(((C41/C40)/E39),0))))</f>
        <v>3</v>
      </c>
      <c r="D39" s="19"/>
      <c r="E39" s="127">
        <f>E36+E37</f>
        <v>4.166666666666667</v>
      </c>
      <c r="F39" s="435"/>
      <c r="G39" s="436"/>
      <c r="H39" s="436"/>
      <c r="I39" s="437"/>
    </row>
    <row r="40" spans="1:22" x14ac:dyDescent="0.3">
      <c r="A40" s="433"/>
      <c r="B40" s="17" t="s">
        <v>62</v>
      </c>
      <c r="C40" s="65">
        <f>C3/C9</f>
        <v>100</v>
      </c>
      <c r="D40" s="19" t="s">
        <v>63</v>
      </c>
      <c r="E40" s="126"/>
      <c r="F40" s="435"/>
      <c r="G40" s="436"/>
      <c r="H40" s="436"/>
      <c r="I40" s="437"/>
    </row>
    <row r="41" spans="1:22" ht="13.5" customHeight="1" x14ac:dyDescent="0.3">
      <c r="A41" s="433"/>
      <c r="B41" s="17" t="s">
        <v>66</v>
      </c>
      <c r="C41" s="67">
        <f>C3/C5</f>
        <v>750</v>
      </c>
      <c r="D41" s="19" t="s">
        <v>47</v>
      </c>
      <c r="E41" s="128">
        <f>IF(C6&lt;=4%,E42,(H21-H19))</f>
        <v>4.7700000000000005</v>
      </c>
      <c r="F41" s="435"/>
      <c r="G41" s="436"/>
      <c r="H41" s="436"/>
      <c r="I41" s="437"/>
    </row>
    <row r="42" spans="1:22" x14ac:dyDescent="0.3">
      <c r="A42" s="433"/>
      <c r="B42" s="95" t="s">
        <v>72</v>
      </c>
      <c r="C42" s="96">
        <f>((C40*C39)/E38)*D38</f>
        <v>150</v>
      </c>
      <c r="D42" s="97"/>
      <c r="E42" s="128">
        <f>MAX(F34,G34)</f>
        <v>4.7700000000000005</v>
      </c>
      <c r="F42" s="435"/>
      <c r="G42" s="436"/>
      <c r="H42" s="436"/>
      <c r="I42" s="437"/>
    </row>
    <row r="43" spans="1:22" x14ac:dyDescent="0.3">
      <c r="A43" s="434"/>
      <c r="B43" s="27" t="s">
        <v>73</v>
      </c>
      <c r="C43" s="438" t="s">
        <v>74</v>
      </c>
      <c r="D43" s="439"/>
      <c r="E43" s="128">
        <f>MAX(H34,I34)</f>
        <v>3.76</v>
      </c>
      <c r="F43" s="440"/>
      <c r="G43" s="441"/>
      <c r="H43" s="441"/>
      <c r="I43" s="442"/>
      <c r="V43" s="98"/>
    </row>
    <row r="44" spans="1:22" s="16" customFormat="1" ht="4.5" thickBot="1" x14ac:dyDescent="0.2">
      <c r="A44" s="99"/>
      <c r="C44" s="99"/>
      <c r="D44" s="100"/>
      <c r="E44" s="101"/>
      <c r="H44" s="99"/>
    </row>
    <row r="45" spans="1:22" ht="23.5" thickBot="1" x14ac:dyDescent="0.55000000000000004">
      <c r="A45" s="423" t="s">
        <v>75</v>
      </c>
      <c r="B45" s="424"/>
      <c r="C45" s="424"/>
      <c r="D45" s="424"/>
      <c r="E45" s="424"/>
      <c r="F45" s="424"/>
      <c r="G45" s="424"/>
      <c r="H45" s="424"/>
      <c r="I45" s="425"/>
    </row>
    <row r="46" spans="1:22" ht="13.5" thickBot="1" x14ac:dyDescent="0.35">
      <c r="D46" s="102"/>
    </row>
    <row r="47" spans="1:22" x14ac:dyDescent="0.3">
      <c r="A47" s="103" t="s">
        <v>76</v>
      </c>
      <c r="B47" s="104" t="s">
        <v>77</v>
      </c>
      <c r="C47" s="426" t="s">
        <v>78</v>
      </c>
      <c r="D47" s="426"/>
      <c r="E47" s="426"/>
      <c r="F47" s="426"/>
      <c r="G47" s="426" t="s">
        <v>79</v>
      </c>
      <c r="H47" s="426"/>
      <c r="I47" s="427"/>
    </row>
    <row r="48" spans="1:22" x14ac:dyDescent="0.3">
      <c r="A48" s="105"/>
      <c r="I48" s="107"/>
    </row>
    <row r="49" spans="1:9" x14ac:dyDescent="0.3">
      <c r="A49" s="105"/>
      <c r="I49" s="107"/>
    </row>
    <row r="50" spans="1:9" x14ac:dyDescent="0.3">
      <c r="A50" s="105"/>
      <c r="I50" s="107"/>
    </row>
    <row r="51" spans="1:9" x14ac:dyDescent="0.3">
      <c r="A51" s="105"/>
      <c r="I51" s="107"/>
    </row>
    <row r="52" spans="1:9" x14ac:dyDescent="0.3">
      <c r="A52" s="105"/>
      <c r="I52" s="107"/>
    </row>
    <row r="53" spans="1:9" x14ac:dyDescent="0.3">
      <c r="A53" s="105"/>
      <c r="I53" s="107"/>
    </row>
    <row r="54" spans="1:9" x14ac:dyDescent="0.3">
      <c r="A54" s="105"/>
      <c r="I54" s="107"/>
    </row>
    <row r="55" spans="1:9" x14ac:dyDescent="0.3">
      <c r="A55" s="105"/>
      <c r="D55" s="108"/>
      <c r="E55" s="109"/>
      <c r="I55" s="107"/>
    </row>
    <row r="56" spans="1:9" x14ac:dyDescent="0.3">
      <c r="A56" s="105"/>
      <c r="I56" s="107"/>
    </row>
    <row r="57" spans="1:9" x14ac:dyDescent="0.3">
      <c r="A57" s="105"/>
      <c r="I57" s="107"/>
    </row>
    <row r="58" spans="1:9" x14ac:dyDescent="0.3">
      <c r="A58" s="105"/>
      <c r="I58" s="107"/>
    </row>
    <row r="59" spans="1:9" x14ac:dyDescent="0.3">
      <c r="A59" s="105"/>
      <c r="I59" s="107"/>
    </row>
    <row r="60" spans="1:9" x14ac:dyDescent="0.3">
      <c r="A60" s="105"/>
      <c r="I60" s="107"/>
    </row>
    <row r="61" spans="1:9" x14ac:dyDescent="0.3">
      <c r="A61" s="105"/>
      <c r="I61" s="107"/>
    </row>
    <row r="62" spans="1:9" x14ac:dyDescent="0.3">
      <c r="A62" s="105"/>
      <c r="I62" s="107"/>
    </row>
    <row r="63" spans="1:9" x14ac:dyDescent="0.3">
      <c r="A63" s="105"/>
      <c r="I63" s="107"/>
    </row>
    <row r="64" spans="1:9" x14ac:dyDescent="0.3">
      <c r="A64" s="105"/>
      <c r="I64" s="107"/>
    </row>
    <row r="65" spans="1:9" x14ac:dyDescent="0.3">
      <c r="A65" s="105"/>
      <c r="I65" s="107"/>
    </row>
    <row r="66" spans="1:9" x14ac:dyDescent="0.3">
      <c r="A66" s="105"/>
      <c r="I66" s="107"/>
    </row>
    <row r="67" spans="1:9" x14ac:dyDescent="0.3">
      <c r="A67" s="105"/>
      <c r="I67" s="107"/>
    </row>
    <row r="68" spans="1:9" x14ac:dyDescent="0.3">
      <c r="A68" s="105"/>
      <c r="I68" s="107"/>
    </row>
    <row r="69" spans="1:9" x14ac:dyDescent="0.3">
      <c r="A69" s="105"/>
      <c r="I69" s="107"/>
    </row>
    <row r="70" spans="1:9" x14ac:dyDescent="0.3">
      <c r="A70" s="105"/>
      <c r="I70" s="107"/>
    </row>
    <row r="71" spans="1:9" x14ac:dyDescent="0.3">
      <c r="A71" s="105"/>
      <c r="I71" s="107"/>
    </row>
    <row r="72" spans="1:9" x14ac:dyDescent="0.3">
      <c r="A72" s="105"/>
      <c r="I72" s="107"/>
    </row>
    <row r="73" spans="1:9" x14ac:dyDescent="0.3">
      <c r="A73" s="105"/>
      <c r="I73" s="107"/>
    </row>
    <row r="74" spans="1:9" x14ac:dyDescent="0.3">
      <c r="A74" s="105"/>
      <c r="I74" s="107"/>
    </row>
    <row r="75" spans="1:9" x14ac:dyDescent="0.3">
      <c r="A75" s="105"/>
      <c r="I75" s="107"/>
    </row>
    <row r="76" spans="1:9" x14ac:dyDescent="0.3">
      <c r="A76" s="105"/>
      <c r="I76" s="107"/>
    </row>
    <row r="77" spans="1:9" x14ac:dyDescent="0.3">
      <c r="A77" s="105"/>
      <c r="I77" s="107"/>
    </row>
    <row r="78" spans="1:9" x14ac:dyDescent="0.3">
      <c r="A78" s="105"/>
      <c r="I78" s="107"/>
    </row>
    <row r="79" spans="1:9" x14ac:dyDescent="0.3">
      <c r="A79" s="105"/>
      <c r="I79" s="107"/>
    </row>
    <row r="80" spans="1:9" x14ac:dyDescent="0.3">
      <c r="A80" s="105"/>
      <c r="I80" s="107"/>
    </row>
    <row r="81" spans="1:9" x14ac:dyDescent="0.3">
      <c r="A81" s="105"/>
      <c r="I81" s="107"/>
    </row>
    <row r="82" spans="1:9" x14ac:dyDescent="0.3">
      <c r="A82" s="105"/>
      <c r="I82" s="107"/>
    </row>
    <row r="83" spans="1:9" x14ac:dyDescent="0.3">
      <c r="A83" s="105"/>
      <c r="I83" s="107"/>
    </row>
    <row r="84" spans="1:9" x14ac:dyDescent="0.3">
      <c r="A84" s="105"/>
      <c r="I84" s="107"/>
    </row>
    <row r="85" spans="1:9" x14ac:dyDescent="0.3">
      <c r="A85" s="105"/>
      <c r="I85" s="107"/>
    </row>
    <row r="86" spans="1:9" ht="13.5" thickBot="1" x14ac:dyDescent="0.35">
      <c r="A86" s="110"/>
      <c r="B86" s="111"/>
      <c r="C86" s="112"/>
      <c r="D86" s="113"/>
      <c r="E86" s="111"/>
      <c r="F86" s="111"/>
      <c r="G86" s="111"/>
      <c r="H86" s="112"/>
      <c r="I86" s="114"/>
    </row>
    <row r="87" spans="1:9" x14ac:dyDescent="0.3">
      <c r="I87" s="102"/>
    </row>
    <row r="89" spans="1:9" ht="12.5" x14ac:dyDescent="0.25">
      <c r="A89" s="84"/>
      <c r="C89" s="84"/>
      <c r="D89" s="84"/>
      <c r="H89" s="84"/>
    </row>
    <row r="90" spans="1:9" ht="12.5" x14ac:dyDescent="0.25">
      <c r="A90" s="84"/>
      <c r="C90" s="84"/>
      <c r="D90" s="84"/>
      <c r="H90" s="84"/>
    </row>
    <row r="91" spans="1:9" ht="12.5" x14ac:dyDescent="0.25">
      <c r="A91" s="84"/>
      <c r="C91" s="84"/>
      <c r="D91" s="84"/>
      <c r="H91" s="84"/>
    </row>
    <row r="92" spans="1:9" ht="12.5" x14ac:dyDescent="0.25">
      <c r="A92" s="84"/>
      <c r="C92" s="84"/>
      <c r="D92" s="84"/>
      <c r="H92" s="84"/>
    </row>
    <row r="93" spans="1:9" ht="12.5" x14ac:dyDescent="0.25">
      <c r="A93" s="84"/>
      <c r="C93" s="84"/>
      <c r="D93" s="84"/>
      <c r="H93" s="84"/>
    </row>
    <row r="94" spans="1:9" ht="12.5" x14ac:dyDescent="0.25">
      <c r="A94" s="84"/>
      <c r="C94" s="84"/>
      <c r="D94" s="84"/>
      <c r="H94" s="84"/>
    </row>
    <row r="95" spans="1:9" ht="12.5" x14ac:dyDescent="0.25">
      <c r="A95" s="84"/>
      <c r="C95" s="84"/>
      <c r="D95" s="84"/>
      <c r="H95" s="84"/>
    </row>
    <row r="96" spans="1:9" ht="12.5" x14ac:dyDescent="0.25">
      <c r="A96" s="84"/>
      <c r="C96" s="84"/>
      <c r="D96" s="84"/>
      <c r="H96" s="84"/>
    </row>
    <row r="97" s="84" customFormat="1" ht="12.5" x14ac:dyDescent="0.25"/>
    <row r="98" s="84" customFormat="1" ht="12.5" x14ac:dyDescent="0.25"/>
    <row r="99" s="84" customFormat="1" ht="12.5" x14ac:dyDescent="0.25"/>
    <row r="100" s="84" customFormat="1" ht="12.5" x14ac:dyDescent="0.25"/>
    <row r="101" s="84" customFormat="1" ht="12.5" x14ac:dyDescent="0.25"/>
    <row r="102" s="84" customFormat="1" ht="12.5" x14ac:dyDescent="0.25"/>
    <row r="103" s="84" customFormat="1" ht="12.5" x14ac:dyDescent="0.25"/>
    <row r="104" s="84" customFormat="1" ht="12.5" x14ac:dyDescent="0.25"/>
    <row r="105" s="84" customFormat="1" ht="12.5" x14ac:dyDescent="0.25"/>
    <row r="106" s="84" customFormat="1" ht="12.5" x14ac:dyDescent="0.25"/>
    <row r="107" s="84" customFormat="1" ht="12.5" x14ac:dyDescent="0.25"/>
    <row r="108" s="84" customFormat="1" ht="12.5" x14ac:dyDescent="0.25"/>
    <row r="109" s="84" customFormat="1" ht="12.5" x14ac:dyDescent="0.25"/>
    <row r="110" s="84" customFormat="1" ht="12.5" x14ac:dyDescent="0.25"/>
    <row r="111" s="84" customFormat="1" ht="12.5" x14ac:dyDescent="0.25"/>
    <row r="112" s="84" customFormat="1" ht="12.5" x14ac:dyDescent="0.25"/>
    <row r="113" s="84" customFormat="1" ht="12.5" x14ac:dyDescent="0.25"/>
    <row r="114" s="84" customFormat="1" ht="12.5" x14ac:dyDescent="0.25"/>
    <row r="115" s="84" customFormat="1" ht="12.5" x14ac:dyDescent="0.25"/>
    <row r="116" s="84" customFormat="1" ht="12.5" x14ac:dyDescent="0.25"/>
    <row r="117" s="84" customFormat="1" ht="12.5" x14ac:dyDescent="0.25"/>
    <row r="118" s="84" customFormat="1" ht="12.5" x14ac:dyDescent="0.25"/>
    <row r="119" s="84" customFormat="1" ht="12.5" x14ac:dyDescent="0.25"/>
    <row r="120" s="84" customFormat="1" ht="12.5" x14ac:dyDescent="0.25"/>
    <row r="121" s="84" customFormat="1" ht="12.5" x14ac:dyDescent="0.25"/>
    <row r="122" s="84" customFormat="1" ht="12.5" x14ac:dyDescent="0.25"/>
    <row r="123" s="84" customFormat="1" ht="12.5" x14ac:dyDescent="0.25"/>
    <row r="124" s="84" customFormat="1" ht="12.5" x14ac:dyDescent="0.25"/>
    <row r="125" s="84" customFormat="1" ht="12.5" x14ac:dyDescent="0.25"/>
    <row r="126" s="84" customFormat="1" ht="12.5" x14ac:dyDescent="0.25"/>
    <row r="127" s="84" customFormat="1" ht="12.5" x14ac:dyDescent="0.25"/>
    <row r="128" s="84" customFormat="1" ht="12.5" x14ac:dyDescent="0.25"/>
    <row r="129" s="84" customFormat="1" ht="12.5" x14ac:dyDescent="0.25"/>
    <row r="130" s="84" customFormat="1" ht="12.5" x14ac:dyDescent="0.25"/>
    <row r="131" s="84" customFormat="1" ht="12.5" x14ac:dyDescent="0.25"/>
    <row r="132" s="84" customFormat="1" ht="12.5" x14ac:dyDescent="0.25"/>
    <row r="133" s="84" customFormat="1" ht="12.5" x14ac:dyDescent="0.25"/>
  </sheetData>
  <sheetProtection algorithmName="SHA-512" hashValue="7rdWPKgJxkJzbsZ50O6yEJSPX93xrzwaqTSIyoKNetQ+lgmaX+tUEDxsipvvW+mHNHJ5UkiyBzqac+RuswPHTQ==" saltValue="D0A1lEAnujbFpg1yydw+dA==" spinCount="100000" sheet="1" formatCells="0" formatColumns="0" formatRows="0" insertColumns="0" insertRows="0" deleteColumns="0" deleteRows="0" sort="0"/>
  <mergeCells count="27">
    <mergeCell ref="A45:I45"/>
    <mergeCell ref="C47:F47"/>
    <mergeCell ref="G47:I47"/>
    <mergeCell ref="A19:D19"/>
    <mergeCell ref="F35:I35"/>
    <mergeCell ref="A36:A43"/>
    <mergeCell ref="F36:I36"/>
    <mergeCell ref="F37:I37"/>
    <mergeCell ref="F38:I38"/>
    <mergeCell ref="F39:I39"/>
    <mergeCell ref="F40:I40"/>
    <mergeCell ref="F41:I41"/>
    <mergeCell ref="F42:I42"/>
    <mergeCell ref="C43:D43"/>
    <mergeCell ref="F43:I43"/>
    <mergeCell ref="K33:M33"/>
    <mergeCell ref="A1:I1"/>
    <mergeCell ref="L2:M2"/>
    <mergeCell ref="A3:A10"/>
    <mergeCell ref="A11:D11"/>
    <mergeCell ref="A12:A14"/>
    <mergeCell ref="F13:I13"/>
    <mergeCell ref="A16:A18"/>
    <mergeCell ref="F17:F33"/>
    <mergeCell ref="A20:A22"/>
    <mergeCell ref="A24:A28"/>
    <mergeCell ref="A30:A34"/>
  </mergeCells>
  <conditionalFormatting sqref="A24:A28">
    <cfRule type="expression" dxfId="38" priority="16" stopIfTrue="1">
      <formula>IF(C10="Subsurface",TRUE,FALSE)</formula>
    </cfRule>
  </conditionalFormatting>
  <conditionalFormatting sqref="A30:A34">
    <cfRule type="expression" dxfId="37" priority="15" stopIfTrue="1">
      <formula>IF(C10="Subsurface",TRUE,FALSE)</formula>
    </cfRule>
  </conditionalFormatting>
  <conditionalFormatting sqref="A36:A43">
    <cfRule type="expression" dxfId="36" priority="14" stopIfTrue="1">
      <formula>IF(C10="Subsurface",TRUE,FALSE)</formula>
    </cfRule>
  </conditionalFormatting>
  <conditionalFormatting sqref="C25:C28">
    <cfRule type="expression" dxfId="35" priority="11" stopIfTrue="1">
      <formula>IF($C$10="Mounded",TRUE,FALSE)</formula>
    </cfRule>
  </conditionalFormatting>
  <conditionalFormatting sqref="C32:C34">
    <cfRule type="expression" dxfId="34" priority="8" stopIfTrue="1">
      <formula>IF($C$10="Mounded",TRUE,FALSE)</formula>
    </cfRule>
  </conditionalFormatting>
  <conditionalFormatting sqref="C39:C42">
    <cfRule type="expression" dxfId="33" priority="6" stopIfTrue="1">
      <formula>IF($C$10="Mounded",TRUE,FALSE)</formula>
    </cfRule>
  </conditionalFormatting>
  <conditionalFormatting sqref="F3">
    <cfRule type="expression" dxfId="32" priority="1">
      <formula>IF($C$10="Subsurface",TRUE,FALSE)</formula>
    </cfRule>
  </conditionalFormatting>
  <conditionalFormatting sqref="F17:F33">
    <cfRule type="expression" dxfId="31" priority="17" stopIfTrue="1">
      <formula>IF(C10="Mounded",TRUE,FALSE)</formula>
    </cfRule>
  </conditionalFormatting>
  <conditionalFormatting sqref="H19:H33">
    <cfRule type="expression" dxfId="30" priority="3" stopIfTrue="1">
      <formula>IF($C$10="Subsurface",TRUE,FALSE)</formula>
    </cfRule>
  </conditionalFormatting>
  <conditionalFormatting sqref="L5:M5">
    <cfRule type="expression" dxfId="29" priority="20" stopIfTrue="1">
      <formula>IF($C$10="Mounded",IF($C$6=0%,TRUE,FALSE))</formula>
    </cfRule>
  </conditionalFormatting>
  <conditionalFormatting sqref="L6:M6">
    <cfRule type="expression" dxfId="28" priority="19" stopIfTrue="1">
      <formula>IF($C$10="Mounded",IF($C$6=1%,TRUE,FALSE))</formula>
    </cfRule>
  </conditionalFormatting>
  <conditionalFormatting sqref="L7:M7">
    <cfRule type="expression" dxfId="27" priority="21" stopIfTrue="1">
      <formula>IF($C$10="Mounded",IF($C$6=2%,TRUE,FALSE))</formula>
    </cfRule>
  </conditionalFormatting>
  <conditionalFormatting sqref="L8:M8">
    <cfRule type="expression" dxfId="26" priority="22" stopIfTrue="1">
      <formula>IF($C$10="Mounded",IF($C$6=3%,TRUE,FALSE))</formula>
    </cfRule>
  </conditionalFormatting>
  <conditionalFormatting sqref="L9:M9">
    <cfRule type="expression" dxfId="25" priority="23" stopIfTrue="1">
      <formula>IF($C$10="Mounded",IF($C$6=4%,TRUE,FALSE))</formula>
    </cfRule>
  </conditionalFormatting>
  <conditionalFormatting sqref="L10:M10">
    <cfRule type="expression" dxfId="24" priority="24" stopIfTrue="1">
      <formula>IF($C$10="Mounded",IF($C$6=5%,TRUE,FALSE))</formula>
    </cfRule>
  </conditionalFormatting>
  <conditionalFormatting sqref="L11:M11">
    <cfRule type="expression" dxfId="23" priority="25" stopIfTrue="1">
      <formula>IF($C$10="Mounded",IF($C$6=6%,TRUE,FALSE))</formula>
    </cfRule>
  </conditionalFormatting>
  <conditionalFormatting sqref="L12:M12">
    <cfRule type="expression" dxfId="22" priority="18" stopIfTrue="1">
      <formula>IF($C$10="Mounded",IF($C$6=7%,TRUE,FALSE))</formula>
    </cfRule>
  </conditionalFormatting>
  <conditionalFormatting sqref="L13:M13">
    <cfRule type="expression" dxfId="21" priority="26" stopIfTrue="1">
      <formula>IF($C$10="Mounded",IF($C$6=8%,TRUE,FALSE))</formula>
    </cfRule>
  </conditionalFormatting>
  <conditionalFormatting sqref="L14:M14">
    <cfRule type="expression" dxfId="20" priority="27" stopIfTrue="1">
      <formula>IF($C$10="Mounded",IF($C$6=9%,TRUE,FALSE))</formula>
    </cfRule>
  </conditionalFormatting>
  <conditionalFormatting sqref="L15:M15">
    <cfRule type="expression" dxfId="19" priority="28" stopIfTrue="1">
      <formula>IF($C$10="Mounded",IF($C$6=10%,TRUE,FALSE))</formula>
    </cfRule>
  </conditionalFormatting>
  <conditionalFormatting sqref="L16:M16">
    <cfRule type="expression" dxfId="18" priority="29" stopIfTrue="1">
      <formula>IF($C$10="Mounded",IF($C$6=11%,TRUE,FALSE))</formula>
    </cfRule>
  </conditionalFormatting>
  <conditionalFormatting sqref="L17:M17">
    <cfRule type="expression" dxfId="17" priority="30" stopIfTrue="1">
      <formula>IF($C$10="Mounded",IF($C$6=12%,TRUE,FALSE))</formula>
    </cfRule>
  </conditionalFormatting>
  <conditionalFormatting sqref="L18:M18">
    <cfRule type="expression" dxfId="16" priority="31" stopIfTrue="1">
      <formula>IF($C$10="Mounded",IF($C$6=13%,TRUE,FALSE))</formula>
    </cfRule>
  </conditionalFormatting>
  <conditionalFormatting sqref="L19:M19">
    <cfRule type="expression" dxfId="15" priority="32" stopIfTrue="1">
      <formula>IF($C$10="Mounded",IF($C$6=14%,TRUE,FALSE))</formula>
    </cfRule>
  </conditionalFormatting>
  <conditionalFormatting sqref="L20:M20">
    <cfRule type="expression" dxfId="14" priority="33" stopIfTrue="1">
      <formula>IF($C$10="Mounded",IF($C$6=15%,TRUE,FALSE))</formula>
    </cfRule>
  </conditionalFormatting>
  <conditionalFormatting sqref="L21:M21">
    <cfRule type="expression" dxfId="13" priority="34" stopIfTrue="1">
      <formula>IF($C$10="Mounded",IF($C$6=16%,TRUE,FALSE))</formula>
    </cfRule>
  </conditionalFormatting>
  <conditionalFormatting sqref="L22:M22">
    <cfRule type="expression" dxfId="12" priority="35" stopIfTrue="1">
      <formula>IF($C$10="Mounded",IF($C$6=17%,TRUE,FALSE))</formula>
    </cfRule>
  </conditionalFormatting>
  <conditionalFormatting sqref="L23:M23">
    <cfRule type="expression" dxfId="11" priority="36" stopIfTrue="1">
      <formula>IF($C$10="Mounded",IF($C$6=18%,TRUE,FALSE))</formula>
    </cfRule>
  </conditionalFormatting>
  <conditionalFormatting sqref="L24:M24">
    <cfRule type="expression" dxfId="10" priority="37" stopIfTrue="1">
      <formula>IF($C$10="Mounded",IF($C$6=19%,TRUE,FALSE))</formula>
    </cfRule>
  </conditionalFormatting>
  <conditionalFormatting sqref="L25:M25">
    <cfRule type="expression" dxfId="9" priority="38" stopIfTrue="1">
      <formula>IF($C$10="Mounded",IF($C$6=20%,TRUE,FALSE))</formula>
    </cfRule>
  </conditionalFormatting>
  <conditionalFormatting sqref="L26:M26">
    <cfRule type="expression" dxfId="8" priority="39" stopIfTrue="1">
      <formula>IF($C$10="Mounded",IF($C$6=21%,TRUE,FALSE))</formula>
    </cfRule>
  </conditionalFormatting>
  <conditionalFormatting sqref="L27:M27">
    <cfRule type="expression" dxfId="7" priority="40" stopIfTrue="1">
      <formula>IF($C$10="Mounded",IF($C$6=22%,TRUE,FALSE))</formula>
    </cfRule>
  </conditionalFormatting>
  <conditionalFormatting sqref="L28:M28">
    <cfRule type="expression" dxfId="6" priority="41" stopIfTrue="1">
      <formula>IF($C$10="Mounded",IF($C$6=23%,TRUE,FALSE))</formula>
    </cfRule>
  </conditionalFormatting>
  <conditionalFormatting sqref="L29:M29">
    <cfRule type="expression" dxfId="5" priority="42" stopIfTrue="1">
      <formula>IF($C$10="Mounded",IF($C$6=24%,TRUE,FALSE))</formula>
    </cfRule>
  </conditionalFormatting>
  <conditionalFormatting sqref="L30:M30">
    <cfRule type="expression" dxfId="4" priority="43" stopIfTrue="1">
      <formula>IF($C$10="Mounded",IF($C$6=25%,TRUE,FALSE))</formula>
    </cfRule>
  </conditionalFormatting>
  <dataValidations count="10">
    <dataValidation type="list" allowBlank="1" showInputMessage="1" showErrorMessage="1" sqref="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xr:uid="{3C903439-84D2-4FAD-B217-0282D3E69D0A}">
      <formula1>$E$24:$E$25</formula1>
    </dataValidation>
    <dataValidation type="list" allowBlank="1" showInputMessage="1" showErrorMessage="1" sqref="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xr:uid="{A2EE31C1-491C-4463-8DE4-E19FC6EFFEBF}">
      <formula1>$E$26:$E$27</formula1>
    </dataValidation>
    <dataValidation type="list" allowBlank="1" showInputMessage="1" showErrorMessage="1" sqref="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xr:uid="{EECFADFD-4A89-421A-A70B-868B8E65A054}">
      <formula1>$E$28:$E$30</formula1>
    </dataValidation>
    <dataValidation type="decimal" operator="lessThanOrEqual" showInputMessage="1" showErrorMessage="1" errorTitle="Slope %" error="Slope must be less than or equal to 25%!"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D83ADACA-224D-408F-AD02-C7FDBC853C4B}">
      <formula1>0.25</formula1>
    </dataValidation>
    <dataValidation type="list" operator="lessThanOrEqual" allowBlank="1" showInputMessage="1" showErrorMessage="1" error="Trench W must be 36&quot; or less!" sqref="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xr:uid="{88F9805D-5B97-4C3E-AEBF-5456E2986515}">
      <formula1>$E$28:$E$30</formula1>
    </dataValidation>
    <dataValidation operator="lessThanOrEqual" allowBlank="1" showInputMessage="1" showErrorMessage="1" error="Trench W must be 24&quot; or less!"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6AE3818D-55CC-485E-91A2-AA885650C689}"/>
    <dataValidation allowBlank="1" showInputMessage="1" showErrorMessage="1" error="Enter value from 3 to 10 feet!" sqref="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xr:uid="{3DE8C7F7-819B-4F1A-928A-C62D5AAA6DCB}"/>
    <dataValidation type="list" allowBlank="1" showInputMessage="1" showErrorMessage="1" sqref="WVK98306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xr:uid="{447C6CC7-BCB4-4B37-8239-877046EC502F}">
      <formula1>$E$16:$E$19</formula1>
    </dataValidation>
    <dataValidation type="list" allowBlank="1" showInputMessage="1" showErrorMessage="1" sqref="C21" xr:uid="{A5578367-2BE5-4785-8492-A3A6A1A57FBA}">
      <formula1>$G$4:$G$9</formula1>
    </dataValidation>
    <dataValidation type="list" allowBlank="1" showInputMessage="1" showErrorMessage="1" sqref="C20" xr:uid="{F0CE6D75-0D0D-4416-A296-E4DD8B3F8276}">
      <formula1>$E$3:$E$4</formula1>
    </dataValidation>
  </dataValidations>
  <printOptions horizontalCentered="1" verticalCentered="1"/>
  <pageMargins left="0.5" right="0.5" top="0.3" bottom="0.3" header="0" footer="0"/>
  <pageSetup scale="99" orientation="landscape" horizontalDpi="4294967292"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A84BC-5EED-40A0-888B-E5BB0234B2A9}">
  <sheetPr>
    <pageSetUpPr fitToPage="1"/>
  </sheetPr>
  <dimension ref="A1:U42"/>
  <sheetViews>
    <sheetView showGridLines="0" zoomScaleNormal="100" workbookViewId="0">
      <selection sqref="A1:P1"/>
    </sheetView>
  </sheetViews>
  <sheetFormatPr defaultColWidth="9.08984375" defaultRowHeight="13" x14ac:dyDescent="0.3"/>
  <cols>
    <col min="1" max="1" width="9.08984375" style="135"/>
    <col min="2" max="8" width="10.6328125" style="134" customWidth="1"/>
    <col min="9" max="9" width="10.6328125" style="135" customWidth="1"/>
    <col min="10" max="10" width="1.6328125" style="134" customWidth="1"/>
    <col min="11" max="11" width="5.81640625" style="134" customWidth="1"/>
    <col min="12" max="265" width="9.08984375" style="134"/>
    <col min="266" max="266" width="1.6328125" style="134" customWidth="1"/>
    <col min="267" max="267" width="5.81640625" style="134" customWidth="1"/>
    <col min="268" max="521" width="9.08984375" style="134"/>
    <col min="522" max="522" width="1.6328125" style="134" customWidth="1"/>
    <col min="523" max="523" width="5.81640625" style="134" customWidth="1"/>
    <col min="524" max="777" width="9.08984375" style="134"/>
    <col min="778" max="778" width="1.6328125" style="134" customWidth="1"/>
    <col min="779" max="779" width="5.81640625" style="134" customWidth="1"/>
    <col min="780" max="1033" width="9.08984375" style="134"/>
    <col min="1034" max="1034" width="1.6328125" style="134" customWidth="1"/>
    <col min="1035" max="1035" width="5.81640625" style="134" customWidth="1"/>
    <col min="1036" max="1289" width="9.08984375" style="134"/>
    <col min="1290" max="1290" width="1.6328125" style="134" customWidth="1"/>
    <col min="1291" max="1291" width="5.81640625" style="134" customWidth="1"/>
    <col min="1292" max="1545" width="9.08984375" style="134"/>
    <col min="1546" max="1546" width="1.6328125" style="134" customWidth="1"/>
    <col min="1547" max="1547" width="5.81640625" style="134" customWidth="1"/>
    <col min="1548" max="1801" width="9.08984375" style="134"/>
    <col min="1802" max="1802" width="1.6328125" style="134" customWidth="1"/>
    <col min="1803" max="1803" width="5.81640625" style="134" customWidth="1"/>
    <col min="1804" max="2057" width="9.08984375" style="134"/>
    <col min="2058" max="2058" width="1.6328125" style="134" customWidth="1"/>
    <col min="2059" max="2059" width="5.81640625" style="134" customWidth="1"/>
    <col min="2060" max="2313" width="9.08984375" style="134"/>
    <col min="2314" max="2314" width="1.6328125" style="134" customWidth="1"/>
    <col min="2315" max="2315" width="5.81640625" style="134" customWidth="1"/>
    <col min="2316" max="2569" width="9.08984375" style="134"/>
    <col min="2570" max="2570" width="1.6328125" style="134" customWidth="1"/>
    <col min="2571" max="2571" width="5.81640625" style="134" customWidth="1"/>
    <col min="2572" max="2825" width="9.08984375" style="134"/>
    <col min="2826" max="2826" width="1.6328125" style="134" customWidth="1"/>
    <col min="2827" max="2827" width="5.81640625" style="134" customWidth="1"/>
    <col min="2828" max="3081" width="9.08984375" style="134"/>
    <col min="3082" max="3082" width="1.6328125" style="134" customWidth="1"/>
    <col min="3083" max="3083" width="5.81640625" style="134" customWidth="1"/>
    <col min="3084" max="3337" width="9.08984375" style="134"/>
    <col min="3338" max="3338" width="1.6328125" style="134" customWidth="1"/>
    <col min="3339" max="3339" width="5.81640625" style="134" customWidth="1"/>
    <col min="3340" max="3593" width="9.08984375" style="134"/>
    <col min="3594" max="3594" width="1.6328125" style="134" customWidth="1"/>
    <col min="3595" max="3595" width="5.81640625" style="134" customWidth="1"/>
    <col min="3596" max="3849" width="9.08984375" style="134"/>
    <col min="3850" max="3850" width="1.6328125" style="134" customWidth="1"/>
    <col min="3851" max="3851" width="5.81640625" style="134" customWidth="1"/>
    <col min="3852" max="4105" width="9.08984375" style="134"/>
    <col min="4106" max="4106" width="1.6328125" style="134" customWidth="1"/>
    <col min="4107" max="4107" width="5.81640625" style="134" customWidth="1"/>
    <col min="4108" max="4361" width="9.08984375" style="134"/>
    <col min="4362" max="4362" width="1.6328125" style="134" customWidth="1"/>
    <col min="4363" max="4363" width="5.81640625" style="134" customWidth="1"/>
    <col min="4364" max="4617" width="9.08984375" style="134"/>
    <col min="4618" max="4618" width="1.6328125" style="134" customWidth="1"/>
    <col min="4619" max="4619" width="5.81640625" style="134" customWidth="1"/>
    <col min="4620" max="4873" width="9.08984375" style="134"/>
    <col min="4874" max="4874" width="1.6328125" style="134" customWidth="1"/>
    <col min="4875" max="4875" width="5.81640625" style="134" customWidth="1"/>
    <col min="4876" max="5129" width="9.08984375" style="134"/>
    <col min="5130" max="5130" width="1.6328125" style="134" customWidth="1"/>
    <col min="5131" max="5131" width="5.81640625" style="134" customWidth="1"/>
    <col min="5132" max="5385" width="9.08984375" style="134"/>
    <col min="5386" max="5386" width="1.6328125" style="134" customWidth="1"/>
    <col min="5387" max="5387" width="5.81640625" style="134" customWidth="1"/>
    <col min="5388" max="5641" width="9.08984375" style="134"/>
    <col min="5642" max="5642" width="1.6328125" style="134" customWidth="1"/>
    <col min="5643" max="5643" width="5.81640625" style="134" customWidth="1"/>
    <col min="5644" max="5897" width="9.08984375" style="134"/>
    <col min="5898" max="5898" width="1.6328125" style="134" customWidth="1"/>
    <col min="5899" max="5899" width="5.81640625" style="134" customWidth="1"/>
    <col min="5900" max="6153" width="9.08984375" style="134"/>
    <col min="6154" max="6154" width="1.6328125" style="134" customWidth="1"/>
    <col min="6155" max="6155" width="5.81640625" style="134" customWidth="1"/>
    <col min="6156" max="6409" width="9.08984375" style="134"/>
    <col min="6410" max="6410" width="1.6328125" style="134" customWidth="1"/>
    <col min="6411" max="6411" width="5.81640625" style="134" customWidth="1"/>
    <col min="6412" max="6665" width="9.08984375" style="134"/>
    <col min="6666" max="6666" width="1.6328125" style="134" customWidth="1"/>
    <col min="6667" max="6667" width="5.81640625" style="134" customWidth="1"/>
    <col min="6668" max="6921" width="9.08984375" style="134"/>
    <col min="6922" max="6922" width="1.6328125" style="134" customWidth="1"/>
    <col min="6923" max="6923" width="5.81640625" style="134" customWidth="1"/>
    <col min="6924" max="7177" width="9.08984375" style="134"/>
    <col min="7178" max="7178" width="1.6328125" style="134" customWidth="1"/>
    <col min="7179" max="7179" width="5.81640625" style="134" customWidth="1"/>
    <col min="7180" max="7433" width="9.08984375" style="134"/>
    <col min="7434" max="7434" width="1.6328125" style="134" customWidth="1"/>
    <col min="7435" max="7435" width="5.81640625" style="134" customWidth="1"/>
    <col min="7436" max="7689" width="9.08984375" style="134"/>
    <col min="7690" max="7690" width="1.6328125" style="134" customWidth="1"/>
    <col min="7691" max="7691" width="5.81640625" style="134" customWidth="1"/>
    <col min="7692" max="7945" width="9.08984375" style="134"/>
    <col min="7946" max="7946" width="1.6328125" style="134" customWidth="1"/>
    <col min="7947" max="7947" width="5.81640625" style="134" customWidth="1"/>
    <col min="7948" max="8201" width="9.08984375" style="134"/>
    <col min="8202" max="8202" width="1.6328125" style="134" customWidth="1"/>
    <col min="8203" max="8203" width="5.81640625" style="134" customWidth="1"/>
    <col min="8204" max="8457" width="9.08984375" style="134"/>
    <col min="8458" max="8458" width="1.6328125" style="134" customWidth="1"/>
    <col min="8459" max="8459" width="5.81640625" style="134" customWidth="1"/>
    <col min="8460" max="8713" width="9.08984375" style="134"/>
    <col min="8714" max="8714" width="1.6328125" style="134" customWidth="1"/>
    <col min="8715" max="8715" width="5.81640625" style="134" customWidth="1"/>
    <col min="8716" max="8969" width="9.08984375" style="134"/>
    <col min="8970" max="8970" width="1.6328125" style="134" customWidth="1"/>
    <col min="8971" max="8971" width="5.81640625" style="134" customWidth="1"/>
    <col min="8972" max="9225" width="9.08984375" style="134"/>
    <col min="9226" max="9226" width="1.6328125" style="134" customWidth="1"/>
    <col min="9227" max="9227" width="5.81640625" style="134" customWidth="1"/>
    <col min="9228" max="9481" width="9.08984375" style="134"/>
    <col min="9482" max="9482" width="1.6328125" style="134" customWidth="1"/>
    <col min="9483" max="9483" width="5.81640625" style="134" customWidth="1"/>
    <col min="9484" max="9737" width="9.08984375" style="134"/>
    <col min="9738" max="9738" width="1.6328125" style="134" customWidth="1"/>
    <col min="9739" max="9739" width="5.81640625" style="134" customWidth="1"/>
    <col min="9740" max="9993" width="9.08984375" style="134"/>
    <col min="9994" max="9994" width="1.6328125" style="134" customWidth="1"/>
    <col min="9995" max="9995" width="5.81640625" style="134" customWidth="1"/>
    <col min="9996" max="10249" width="9.08984375" style="134"/>
    <col min="10250" max="10250" width="1.6328125" style="134" customWidth="1"/>
    <col min="10251" max="10251" width="5.81640625" style="134" customWidth="1"/>
    <col min="10252" max="10505" width="9.08984375" style="134"/>
    <col min="10506" max="10506" width="1.6328125" style="134" customWidth="1"/>
    <col min="10507" max="10507" width="5.81640625" style="134" customWidth="1"/>
    <col min="10508" max="10761" width="9.08984375" style="134"/>
    <col min="10762" max="10762" width="1.6328125" style="134" customWidth="1"/>
    <col min="10763" max="10763" width="5.81640625" style="134" customWidth="1"/>
    <col min="10764" max="11017" width="9.08984375" style="134"/>
    <col min="11018" max="11018" width="1.6328125" style="134" customWidth="1"/>
    <col min="11019" max="11019" width="5.81640625" style="134" customWidth="1"/>
    <col min="11020" max="11273" width="9.08984375" style="134"/>
    <col min="11274" max="11274" width="1.6328125" style="134" customWidth="1"/>
    <col min="11275" max="11275" width="5.81640625" style="134" customWidth="1"/>
    <col min="11276" max="11529" width="9.08984375" style="134"/>
    <col min="11530" max="11530" width="1.6328125" style="134" customWidth="1"/>
    <col min="11531" max="11531" width="5.81640625" style="134" customWidth="1"/>
    <col min="11532" max="11785" width="9.08984375" style="134"/>
    <col min="11786" max="11786" width="1.6328125" style="134" customWidth="1"/>
    <col min="11787" max="11787" width="5.81640625" style="134" customWidth="1"/>
    <col min="11788" max="12041" width="9.08984375" style="134"/>
    <col min="12042" max="12042" width="1.6328125" style="134" customWidth="1"/>
    <col min="12043" max="12043" width="5.81640625" style="134" customWidth="1"/>
    <col min="12044" max="12297" width="9.08984375" style="134"/>
    <col min="12298" max="12298" width="1.6328125" style="134" customWidth="1"/>
    <col min="12299" max="12299" width="5.81640625" style="134" customWidth="1"/>
    <col min="12300" max="12553" width="9.08984375" style="134"/>
    <col min="12554" max="12554" width="1.6328125" style="134" customWidth="1"/>
    <col min="12555" max="12555" width="5.81640625" style="134" customWidth="1"/>
    <col min="12556" max="12809" width="9.08984375" style="134"/>
    <col min="12810" max="12810" width="1.6328125" style="134" customWidth="1"/>
    <col min="12811" max="12811" width="5.81640625" style="134" customWidth="1"/>
    <col min="12812" max="13065" width="9.08984375" style="134"/>
    <col min="13066" max="13066" width="1.6328125" style="134" customWidth="1"/>
    <col min="13067" max="13067" width="5.81640625" style="134" customWidth="1"/>
    <col min="13068" max="13321" width="9.08984375" style="134"/>
    <col min="13322" max="13322" width="1.6328125" style="134" customWidth="1"/>
    <col min="13323" max="13323" width="5.81640625" style="134" customWidth="1"/>
    <col min="13324" max="13577" width="9.08984375" style="134"/>
    <col min="13578" max="13578" width="1.6328125" style="134" customWidth="1"/>
    <col min="13579" max="13579" width="5.81640625" style="134" customWidth="1"/>
    <col min="13580" max="13833" width="9.08984375" style="134"/>
    <col min="13834" max="13834" width="1.6328125" style="134" customWidth="1"/>
    <col min="13835" max="13835" width="5.81640625" style="134" customWidth="1"/>
    <col min="13836" max="14089" width="9.08984375" style="134"/>
    <col min="14090" max="14090" width="1.6328125" style="134" customWidth="1"/>
    <col min="14091" max="14091" width="5.81640625" style="134" customWidth="1"/>
    <col min="14092" max="14345" width="9.08984375" style="134"/>
    <col min="14346" max="14346" width="1.6328125" style="134" customWidth="1"/>
    <col min="14347" max="14347" width="5.81640625" style="134" customWidth="1"/>
    <col min="14348" max="14601" width="9.08984375" style="134"/>
    <col min="14602" max="14602" width="1.6328125" style="134" customWidth="1"/>
    <col min="14603" max="14603" width="5.81640625" style="134" customWidth="1"/>
    <col min="14604" max="14857" width="9.08984375" style="134"/>
    <col min="14858" max="14858" width="1.6328125" style="134" customWidth="1"/>
    <col min="14859" max="14859" width="5.81640625" style="134" customWidth="1"/>
    <col min="14860" max="15113" width="9.08984375" style="134"/>
    <col min="15114" max="15114" width="1.6328125" style="134" customWidth="1"/>
    <col min="15115" max="15115" width="5.81640625" style="134" customWidth="1"/>
    <col min="15116" max="15369" width="9.08984375" style="134"/>
    <col min="15370" max="15370" width="1.6328125" style="134" customWidth="1"/>
    <col min="15371" max="15371" width="5.81640625" style="134" customWidth="1"/>
    <col min="15372" max="15625" width="9.08984375" style="134"/>
    <col min="15626" max="15626" width="1.6328125" style="134" customWidth="1"/>
    <col min="15627" max="15627" width="5.81640625" style="134" customWidth="1"/>
    <col min="15628" max="15881" width="9.08984375" style="134"/>
    <col min="15882" max="15882" width="1.6328125" style="134" customWidth="1"/>
    <col min="15883" max="15883" width="5.81640625" style="134" customWidth="1"/>
    <col min="15884" max="16137" width="9.08984375" style="134"/>
    <col min="16138" max="16138" width="1.6328125" style="134" customWidth="1"/>
    <col min="16139" max="16139" width="5.81640625" style="134" customWidth="1"/>
    <col min="16140" max="16384" width="9.08984375" style="134"/>
  </cols>
  <sheetData>
    <row r="1" spans="1:16" s="133" customFormat="1" ht="24" customHeight="1" thickBot="1" x14ac:dyDescent="0.55000000000000004">
      <c r="A1" s="448" t="s">
        <v>103</v>
      </c>
      <c r="B1" s="449"/>
      <c r="C1" s="449"/>
      <c r="D1" s="449"/>
      <c r="E1" s="449"/>
      <c r="F1" s="449"/>
      <c r="G1" s="449"/>
      <c r="H1" s="449"/>
      <c r="I1" s="449"/>
      <c r="J1" s="449"/>
      <c r="K1" s="449"/>
      <c r="L1" s="449"/>
      <c r="M1" s="449"/>
      <c r="N1" s="449"/>
      <c r="O1" s="449"/>
      <c r="P1" s="450"/>
    </row>
    <row r="2" spans="1:16" x14ac:dyDescent="0.3">
      <c r="A2" s="134"/>
    </row>
    <row r="3" spans="1:16" x14ac:dyDescent="0.3">
      <c r="A3" s="135" t="s">
        <v>76</v>
      </c>
    </row>
    <row r="4" spans="1:16" x14ac:dyDescent="0.3">
      <c r="A4" s="134" t="s">
        <v>157</v>
      </c>
    </row>
    <row r="5" spans="1:16" ht="12.5" x14ac:dyDescent="0.25">
      <c r="A5" s="134" t="s">
        <v>104</v>
      </c>
      <c r="I5" s="134"/>
    </row>
    <row r="6" spans="1:16" ht="14.5" x14ac:dyDescent="0.25">
      <c r="A6" s="134" t="s">
        <v>105</v>
      </c>
      <c r="I6" s="134"/>
    </row>
    <row r="7" spans="1:16" ht="14.5" x14ac:dyDescent="0.25">
      <c r="A7" s="134" t="s">
        <v>106</v>
      </c>
      <c r="I7" s="134"/>
    </row>
    <row r="8" spans="1:16" x14ac:dyDescent="0.3">
      <c r="A8" s="134" t="s">
        <v>107</v>
      </c>
      <c r="I8" s="134"/>
    </row>
    <row r="9" spans="1:16" ht="12.5" x14ac:dyDescent="0.25">
      <c r="A9" s="134"/>
      <c r="I9" s="134"/>
    </row>
    <row r="10" spans="1:16" x14ac:dyDescent="0.3">
      <c r="A10" s="135" t="s">
        <v>108</v>
      </c>
      <c r="C10" s="136">
        <v>5</v>
      </c>
      <c r="D10" s="136">
        <v>7</v>
      </c>
      <c r="E10" s="136">
        <v>2.86</v>
      </c>
      <c r="F10" s="136">
        <v>3.39</v>
      </c>
      <c r="L10" s="135" t="s">
        <v>109</v>
      </c>
    </row>
    <row r="11" spans="1:16" s="139" customFormat="1" ht="27.75" customHeight="1" x14ac:dyDescent="0.35">
      <c r="A11" s="137" t="s">
        <v>110</v>
      </c>
      <c r="B11" s="138" t="s">
        <v>111</v>
      </c>
      <c r="C11" s="138" t="s">
        <v>112</v>
      </c>
      <c r="D11" s="137" t="s">
        <v>113</v>
      </c>
      <c r="E11" s="184" t="s">
        <v>114</v>
      </c>
      <c r="F11" s="137" t="s">
        <v>115</v>
      </c>
      <c r="G11" s="137" t="s">
        <v>116</v>
      </c>
      <c r="H11" s="137" t="s">
        <v>117</v>
      </c>
      <c r="I11" s="444" t="s">
        <v>118</v>
      </c>
      <c r="J11" s="445"/>
      <c r="L11" s="451" t="s">
        <v>119</v>
      </c>
      <c r="M11" s="452"/>
      <c r="N11" s="452"/>
      <c r="O11" s="452"/>
      <c r="P11" s="453"/>
    </row>
    <row r="12" spans="1:16" x14ac:dyDescent="0.3">
      <c r="A12" s="140">
        <v>1</v>
      </c>
      <c r="B12" s="141">
        <v>4</v>
      </c>
      <c r="C12" s="141">
        <v>7</v>
      </c>
      <c r="D12" s="142">
        <v>10</v>
      </c>
      <c r="E12" s="185">
        <f>A12*((LOOKUP(C12,C10:D10,E10:F10)*B12))</f>
        <v>13.56</v>
      </c>
      <c r="F12" s="143">
        <f>$N$20</f>
        <v>95.1</v>
      </c>
      <c r="G12" s="186">
        <f>SUM(0.000021355*F12)*(E12^2)</f>
        <v>0.37342163123280003</v>
      </c>
      <c r="H12" s="186">
        <f>SUM(0.10524)*(E12/A12)^2</f>
        <v>19.350857663999999</v>
      </c>
      <c r="I12" s="446">
        <f>SUM(D12+G12+H12)</f>
        <v>29.724279295232797</v>
      </c>
      <c r="J12" s="447"/>
      <c r="L12" s="454" t="s">
        <v>120</v>
      </c>
      <c r="M12" s="455"/>
      <c r="N12" s="144" t="s">
        <v>121</v>
      </c>
      <c r="O12" s="145" t="s">
        <v>122</v>
      </c>
      <c r="P12" s="146" t="s">
        <v>123</v>
      </c>
    </row>
    <row r="13" spans="1:16" x14ac:dyDescent="0.3">
      <c r="A13" s="147"/>
      <c r="B13" s="148"/>
      <c r="C13" s="148"/>
      <c r="D13" s="148"/>
      <c r="E13" s="149"/>
      <c r="F13" s="150"/>
      <c r="G13" s="151"/>
      <c r="H13" s="151"/>
      <c r="I13" s="152"/>
      <c r="L13" s="153" t="s">
        <v>124</v>
      </c>
      <c r="M13" s="154"/>
      <c r="N13" s="155">
        <v>25</v>
      </c>
      <c r="O13" s="182">
        <v>1</v>
      </c>
      <c r="P13" s="183">
        <f>SUM(N13*O13)</f>
        <v>25</v>
      </c>
    </row>
    <row r="14" spans="1:16" x14ac:dyDescent="0.3">
      <c r="A14" s="156" t="s">
        <v>125</v>
      </c>
      <c r="B14" s="148"/>
      <c r="C14" s="148"/>
      <c r="D14" s="148"/>
      <c r="E14" s="148"/>
      <c r="F14" s="150"/>
      <c r="G14" s="151"/>
      <c r="H14" s="151"/>
      <c r="I14" s="152"/>
      <c r="L14" s="157" t="s">
        <v>126</v>
      </c>
      <c r="M14" s="158"/>
      <c r="N14" s="180">
        <v>3.5</v>
      </c>
      <c r="O14" s="159">
        <v>3</v>
      </c>
      <c r="P14" s="179">
        <f>SUM(N14*O14)</f>
        <v>10.5</v>
      </c>
    </row>
    <row r="15" spans="1:16" x14ac:dyDescent="0.3">
      <c r="A15" s="160" t="s">
        <v>127</v>
      </c>
      <c r="B15" s="161"/>
      <c r="C15" s="161"/>
      <c r="D15" s="161"/>
      <c r="E15" s="161"/>
      <c r="F15" s="161"/>
      <c r="G15" s="162">
        <v>600</v>
      </c>
      <c r="H15" s="163" t="s">
        <v>4</v>
      </c>
      <c r="I15" s="151"/>
      <c r="J15" s="151"/>
      <c r="L15" s="157" t="s">
        <v>128</v>
      </c>
      <c r="M15" s="158"/>
      <c r="N15" s="180">
        <v>1.7</v>
      </c>
      <c r="O15" s="159">
        <v>1</v>
      </c>
      <c r="P15" s="179">
        <f t="shared" ref="P15:P19" si="0">SUM(N15*O15)</f>
        <v>1.7</v>
      </c>
    </row>
    <row r="16" spans="1:16" x14ac:dyDescent="0.3">
      <c r="A16" s="164" t="s">
        <v>159</v>
      </c>
      <c r="B16" s="165"/>
      <c r="C16" s="165"/>
      <c r="D16" s="165"/>
      <c r="E16" s="165"/>
      <c r="F16" s="165"/>
      <c r="G16" s="166">
        <v>0</v>
      </c>
      <c r="H16" s="167" t="s">
        <v>129</v>
      </c>
      <c r="I16" s="151"/>
      <c r="J16" s="151"/>
      <c r="L16" s="157" t="s">
        <v>130</v>
      </c>
      <c r="M16" s="158"/>
      <c r="N16" s="180">
        <v>7.6</v>
      </c>
      <c r="O16" s="159">
        <v>1</v>
      </c>
      <c r="P16" s="179">
        <f t="shared" si="0"/>
        <v>7.6</v>
      </c>
    </row>
    <row r="17" spans="1:21" x14ac:dyDescent="0.3">
      <c r="A17" s="164" t="s">
        <v>131</v>
      </c>
      <c r="B17" s="165"/>
      <c r="C17" s="165"/>
      <c r="D17" s="165"/>
      <c r="E17" s="165"/>
      <c r="F17" s="165"/>
      <c r="G17" s="168">
        <v>15</v>
      </c>
      <c r="H17" s="167" t="s">
        <v>132</v>
      </c>
      <c r="I17" s="151"/>
      <c r="J17" s="151"/>
      <c r="L17" s="157" t="s">
        <v>158</v>
      </c>
      <c r="M17" s="158"/>
      <c r="N17" s="180">
        <v>2.2999999999999998</v>
      </c>
      <c r="O17" s="159">
        <v>1</v>
      </c>
      <c r="P17" s="179">
        <f t="shared" si="0"/>
        <v>2.2999999999999998</v>
      </c>
    </row>
    <row r="18" spans="1:21" ht="15" x14ac:dyDescent="0.3">
      <c r="A18" s="164" t="s">
        <v>161</v>
      </c>
      <c r="B18" s="165"/>
      <c r="C18" s="165"/>
      <c r="D18" s="165"/>
      <c r="E18" s="165"/>
      <c r="F18" s="165"/>
      <c r="G18" s="169">
        <f>1440/G17</f>
        <v>96</v>
      </c>
      <c r="H18" s="167" t="s">
        <v>133</v>
      </c>
      <c r="I18" s="152"/>
      <c r="L18" s="157" t="s">
        <v>134</v>
      </c>
      <c r="M18" s="158"/>
      <c r="N18" s="181">
        <v>12</v>
      </c>
      <c r="O18" s="159">
        <v>1</v>
      </c>
      <c r="P18" s="179">
        <f t="shared" si="0"/>
        <v>12</v>
      </c>
    </row>
    <row r="19" spans="1:21" x14ac:dyDescent="0.3">
      <c r="A19" s="164" t="s">
        <v>135</v>
      </c>
      <c r="B19" s="165"/>
      <c r="C19" s="165"/>
      <c r="D19" s="165"/>
      <c r="E19" s="165"/>
      <c r="F19" s="165"/>
      <c r="G19" s="169">
        <f>G16*G18</f>
        <v>0</v>
      </c>
      <c r="H19" s="167" t="s">
        <v>4</v>
      </c>
      <c r="I19" s="152"/>
      <c r="L19" s="157" t="s">
        <v>136</v>
      </c>
      <c r="M19" s="158"/>
      <c r="N19" s="181">
        <v>36</v>
      </c>
      <c r="O19" s="159">
        <v>1</v>
      </c>
      <c r="P19" s="179">
        <f t="shared" si="0"/>
        <v>36</v>
      </c>
    </row>
    <row r="20" spans="1:21" ht="14.5" customHeight="1" x14ac:dyDescent="0.3">
      <c r="A20" s="164" t="s">
        <v>165</v>
      </c>
      <c r="B20" s="165"/>
      <c r="C20" s="165"/>
      <c r="D20" s="165"/>
      <c r="E20" s="165"/>
      <c r="F20" s="165"/>
      <c r="G20" s="169">
        <f>(G15*5)+G19</f>
        <v>3000</v>
      </c>
      <c r="H20" s="167" t="s">
        <v>4</v>
      </c>
      <c r="I20" s="152"/>
      <c r="L20" s="456" t="s">
        <v>137</v>
      </c>
      <c r="M20" s="457"/>
      <c r="N20" s="458">
        <f>SUM(P13:P19)</f>
        <v>95.1</v>
      </c>
      <c r="O20" s="458"/>
      <c r="P20" s="458"/>
    </row>
    <row r="21" spans="1:21" x14ac:dyDescent="0.3">
      <c r="A21" s="164" t="s">
        <v>166</v>
      </c>
      <c r="B21" s="165"/>
      <c r="C21" s="165"/>
      <c r="D21" s="165"/>
      <c r="E21" s="165"/>
      <c r="F21" s="165"/>
      <c r="G21" s="171">
        <f>G20/G18</f>
        <v>31.25</v>
      </c>
      <c r="H21" s="167" t="s">
        <v>129</v>
      </c>
      <c r="I21" s="152"/>
      <c r="L21" s="457"/>
      <c r="M21" s="457"/>
      <c r="N21" s="458"/>
      <c r="O21" s="458"/>
      <c r="P21" s="458"/>
    </row>
    <row r="22" spans="1:21" x14ac:dyDescent="0.3">
      <c r="A22" s="164" t="s">
        <v>164</v>
      </c>
      <c r="B22" s="165"/>
      <c r="C22" s="165"/>
      <c r="D22" s="165"/>
      <c r="E22" s="165"/>
      <c r="F22" s="165"/>
      <c r="G22" s="171">
        <f>(G21-G16)/A12</f>
        <v>31.25</v>
      </c>
      <c r="H22" s="167" t="s">
        <v>129</v>
      </c>
      <c r="I22" s="170"/>
      <c r="L22" s="457"/>
      <c r="M22" s="457"/>
      <c r="N22" s="458"/>
      <c r="O22" s="458"/>
      <c r="P22" s="458"/>
    </row>
    <row r="23" spans="1:21" x14ac:dyDescent="0.3">
      <c r="A23" s="164" t="s">
        <v>162</v>
      </c>
      <c r="B23" s="165"/>
      <c r="C23" s="165"/>
      <c r="D23" s="165"/>
      <c r="E23" s="165"/>
      <c r="F23" s="165"/>
      <c r="G23" s="171">
        <f>G21/E12</f>
        <v>2.3045722713864305</v>
      </c>
      <c r="H23" s="167" t="s">
        <v>132</v>
      </c>
    </row>
    <row r="24" spans="1:21" x14ac:dyDescent="0.3">
      <c r="A24" s="164" t="s">
        <v>163</v>
      </c>
      <c r="B24" s="165"/>
      <c r="C24" s="165"/>
      <c r="D24" s="165"/>
      <c r="E24" s="165"/>
      <c r="F24" s="165"/>
      <c r="G24" s="172">
        <f>G23*60</f>
        <v>138.27433628318582</v>
      </c>
      <c r="H24" s="167" t="s">
        <v>138</v>
      </c>
      <c r="I24" s="134"/>
      <c r="J24" s="151"/>
    </row>
    <row r="25" spans="1:21" x14ac:dyDescent="0.3">
      <c r="A25" s="164" t="s">
        <v>160</v>
      </c>
      <c r="B25" s="165"/>
      <c r="C25" s="165"/>
      <c r="D25" s="165"/>
      <c r="E25" s="165"/>
      <c r="F25" s="165"/>
      <c r="G25" s="187">
        <f>G17-G23</f>
        <v>12.69542772861357</v>
      </c>
      <c r="H25" s="167" t="s">
        <v>132</v>
      </c>
      <c r="I25" s="134"/>
      <c r="J25" s="151"/>
    </row>
    <row r="26" spans="1:21" ht="15" x14ac:dyDescent="0.3">
      <c r="A26" s="164" t="s">
        <v>139</v>
      </c>
      <c r="B26" s="165"/>
      <c r="C26" s="165"/>
      <c r="D26" s="165"/>
      <c r="E26" s="165"/>
      <c r="F26" s="165"/>
      <c r="G26" s="162">
        <v>20</v>
      </c>
      <c r="H26" s="167" t="s">
        <v>140</v>
      </c>
      <c r="I26" s="151"/>
      <c r="J26" s="151"/>
      <c r="T26" s="173"/>
      <c r="U26" s="151"/>
    </row>
    <row r="27" spans="1:21" x14ac:dyDescent="0.3">
      <c r="A27" s="174" t="s">
        <v>141</v>
      </c>
      <c r="B27" s="175"/>
      <c r="C27" s="175"/>
      <c r="D27" s="175"/>
      <c r="E27" s="175"/>
      <c r="F27" s="175"/>
      <c r="G27" s="176">
        <f>G21/G26</f>
        <v>1.5625</v>
      </c>
      <c r="H27" s="177" t="s">
        <v>35</v>
      </c>
      <c r="I27" s="151" t="s">
        <v>142</v>
      </c>
      <c r="J27" s="151"/>
      <c r="T27" s="173"/>
      <c r="U27" s="151"/>
    </row>
    <row r="28" spans="1:21" x14ac:dyDescent="0.3">
      <c r="A28" s="178" t="s">
        <v>143</v>
      </c>
    </row>
    <row r="29" spans="1:21" x14ac:dyDescent="0.3">
      <c r="A29" s="178"/>
    </row>
    <row r="30" spans="1:21" x14ac:dyDescent="0.3">
      <c r="A30" s="135" t="s">
        <v>144</v>
      </c>
    </row>
    <row r="31" spans="1:21" x14ac:dyDescent="0.3">
      <c r="A31" s="134" t="s">
        <v>145</v>
      </c>
      <c r="M31" s="135"/>
    </row>
    <row r="32" spans="1:21" x14ac:dyDescent="0.3">
      <c r="A32" s="134" t="s">
        <v>146</v>
      </c>
      <c r="M32" s="135"/>
    </row>
    <row r="33" spans="1:16" x14ac:dyDescent="0.3">
      <c r="A33" s="134" t="s">
        <v>147</v>
      </c>
      <c r="M33" s="135"/>
    </row>
    <row r="34" spans="1:16" x14ac:dyDescent="0.3">
      <c r="A34" s="134" t="s">
        <v>148</v>
      </c>
      <c r="N34" s="135"/>
    </row>
    <row r="35" spans="1:16" x14ac:dyDescent="0.3">
      <c r="A35" s="134" t="s">
        <v>149</v>
      </c>
    </row>
    <row r="36" spans="1:16" x14ac:dyDescent="0.3">
      <c r="A36" s="134" t="s">
        <v>150</v>
      </c>
    </row>
    <row r="37" spans="1:16" x14ac:dyDescent="0.3">
      <c r="A37" s="134" t="s">
        <v>151</v>
      </c>
    </row>
    <row r="38" spans="1:16" x14ac:dyDescent="0.3">
      <c r="A38" s="134" t="s">
        <v>152</v>
      </c>
    </row>
    <row r="39" spans="1:16" x14ac:dyDescent="0.3">
      <c r="A39" s="134" t="s">
        <v>153</v>
      </c>
    </row>
    <row r="40" spans="1:16" x14ac:dyDescent="0.3">
      <c r="A40" s="134" t="s">
        <v>154</v>
      </c>
    </row>
    <row r="41" spans="1:16" x14ac:dyDescent="0.3">
      <c r="A41" s="134" t="s">
        <v>155</v>
      </c>
    </row>
    <row r="42" spans="1:16" x14ac:dyDescent="0.3">
      <c r="O42" s="443" t="s">
        <v>156</v>
      </c>
      <c r="P42" s="443"/>
    </row>
  </sheetData>
  <sheetProtection algorithmName="SHA-512" hashValue="vyCVweaLZDc3UmPMSeNraqHKnVKXFs6+iu136HXfRdVmYZ3CNytdHMhD2raKvhfKL6Do00fnalSBcv142iOrsg==" saltValue="TfHzc9Jvg6OvgTbTJ3aJbw==" spinCount="100000" sheet="1" objects="1" scenarios="1"/>
  <mergeCells count="8">
    <mergeCell ref="O42:P42"/>
    <mergeCell ref="I11:J11"/>
    <mergeCell ref="I12:J12"/>
    <mergeCell ref="A1:P1"/>
    <mergeCell ref="L11:P11"/>
    <mergeCell ref="L12:M12"/>
    <mergeCell ref="L20:M22"/>
    <mergeCell ref="N20:P22"/>
  </mergeCells>
  <dataValidations disablePrompts="1" count="1">
    <dataValidation type="list" allowBlank="1" showInputMessage="1" showErrorMessage="1" sqref="C12" xr:uid="{AAD385F5-F55F-41F9-90A7-85E81D84F010}">
      <formula1>$C$10:$D$10</formula1>
    </dataValidation>
  </dataValidations>
  <printOptions gridLinesSet="0"/>
  <pageMargins left="0.5" right="0.5" top="0.5" bottom="0.5" header="0.5" footer="0.5"/>
  <pageSetup scale="86" orientation="landscape" r:id="rId1"/>
  <headerFooter alignWithMargins="0"/>
  <rowBreaks count="1" manualBreakCount="1">
    <brk id="3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A1FAD-7034-4FE0-9AEB-12773EB745E4}">
  <dimension ref="A1:G17"/>
  <sheetViews>
    <sheetView workbookViewId="0">
      <selection sqref="A1:G1"/>
    </sheetView>
  </sheetViews>
  <sheetFormatPr defaultRowHeight="12.5" x14ac:dyDescent="0.25"/>
  <cols>
    <col min="1" max="1" width="8.7265625" style="188"/>
    <col min="2" max="2" width="30.6328125" style="188" customWidth="1"/>
    <col min="3" max="3" width="14.36328125" style="188" customWidth="1"/>
    <col min="4" max="257" width="8.7265625" style="188"/>
    <col min="258" max="258" width="30.6328125" style="188" customWidth="1"/>
    <col min="259" max="259" width="14.36328125" style="188" customWidth="1"/>
    <col min="260" max="513" width="8.7265625" style="188"/>
    <col min="514" max="514" width="30.6328125" style="188" customWidth="1"/>
    <col min="515" max="515" width="14.36328125" style="188" customWidth="1"/>
    <col min="516" max="769" width="8.7265625" style="188"/>
    <col min="770" max="770" width="30.6328125" style="188" customWidth="1"/>
    <col min="771" max="771" width="14.36328125" style="188" customWidth="1"/>
    <col min="772" max="1025" width="8.7265625" style="188"/>
    <col min="1026" max="1026" width="30.6328125" style="188" customWidth="1"/>
    <col min="1027" max="1027" width="14.36328125" style="188" customWidth="1"/>
    <col min="1028" max="1281" width="8.7265625" style="188"/>
    <col min="1282" max="1282" width="30.6328125" style="188" customWidth="1"/>
    <col min="1283" max="1283" width="14.36328125" style="188" customWidth="1"/>
    <col min="1284" max="1537" width="8.7265625" style="188"/>
    <col min="1538" max="1538" width="30.6328125" style="188" customWidth="1"/>
    <col min="1539" max="1539" width="14.36328125" style="188" customWidth="1"/>
    <col min="1540" max="1793" width="8.7265625" style="188"/>
    <col min="1794" max="1794" width="30.6328125" style="188" customWidth="1"/>
    <col min="1795" max="1795" width="14.36328125" style="188" customWidth="1"/>
    <col min="1796" max="2049" width="8.7265625" style="188"/>
    <col min="2050" max="2050" width="30.6328125" style="188" customWidth="1"/>
    <col min="2051" max="2051" width="14.36328125" style="188" customWidth="1"/>
    <col min="2052" max="2305" width="8.7265625" style="188"/>
    <col min="2306" max="2306" width="30.6328125" style="188" customWidth="1"/>
    <col min="2307" max="2307" width="14.36328125" style="188" customWidth="1"/>
    <col min="2308" max="2561" width="8.7265625" style="188"/>
    <col min="2562" max="2562" width="30.6328125" style="188" customWidth="1"/>
    <col min="2563" max="2563" width="14.36328125" style="188" customWidth="1"/>
    <col min="2564" max="2817" width="8.7265625" style="188"/>
    <col min="2818" max="2818" width="30.6328125" style="188" customWidth="1"/>
    <col min="2819" max="2819" width="14.36328125" style="188" customWidth="1"/>
    <col min="2820" max="3073" width="8.7265625" style="188"/>
    <col min="3074" max="3074" width="30.6328125" style="188" customWidth="1"/>
    <col min="3075" max="3075" width="14.36328125" style="188" customWidth="1"/>
    <col min="3076" max="3329" width="8.7265625" style="188"/>
    <col min="3330" max="3330" width="30.6328125" style="188" customWidth="1"/>
    <col min="3331" max="3331" width="14.36328125" style="188" customWidth="1"/>
    <col min="3332" max="3585" width="8.7265625" style="188"/>
    <col min="3586" max="3586" width="30.6328125" style="188" customWidth="1"/>
    <col min="3587" max="3587" width="14.36328125" style="188" customWidth="1"/>
    <col min="3588" max="3841" width="8.7265625" style="188"/>
    <col min="3842" max="3842" width="30.6328125" style="188" customWidth="1"/>
    <col min="3843" max="3843" width="14.36328125" style="188" customWidth="1"/>
    <col min="3844" max="4097" width="8.7265625" style="188"/>
    <col min="4098" max="4098" width="30.6328125" style="188" customWidth="1"/>
    <col min="4099" max="4099" width="14.36328125" style="188" customWidth="1"/>
    <col min="4100" max="4353" width="8.7265625" style="188"/>
    <col min="4354" max="4354" width="30.6328125" style="188" customWidth="1"/>
    <col min="4355" max="4355" width="14.36328125" style="188" customWidth="1"/>
    <col min="4356" max="4609" width="8.7265625" style="188"/>
    <col min="4610" max="4610" width="30.6328125" style="188" customWidth="1"/>
    <col min="4611" max="4611" width="14.36328125" style="188" customWidth="1"/>
    <col min="4612" max="4865" width="8.7265625" style="188"/>
    <col min="4866" max="4866" width="30.6328125" style="188" customWidth="1"/>
    <col min="4867" max="4867" width="14.36328125" style="188" customWidth="1"/>
    <col min="4868" max="5121" width="8.7265625" style="188"/>
    <col min="5122" max="5122" width="30.6328125" style="188" customWidth="1"/>
    <col min="5123" max="5123" width="14.36328125" style="188" customWidth="1"/>
    <col min="5124" max="5377" width="8.7265625" style="188"/>
    <col min="5378" max="5378" width="30.6328125" style="188" customWidth="1"/>
    <col min="5379" max="5379" width="14.36328125" style="188" customWidth="1"/>
    <col min="5380" max="5633" width="8.7265625" style="188"/>
    <col min="5634" max="5634" width="30.6328125" style="188" customWidth="1"/>
    <col min="5635" max="5635" width="14.36328125" style="188" customWidth="1"/>
    <col min="5636" max="5889" width="8.7265625" style="188"/>
    <col min="5890" max="5890" width="30.6328125" style="188" customWidth="1"/>
    <col min="5891" max="5891" width="14.36328125" style="188" customWidth="1"/>
    <col min="5892" max="6145" width="8.7265625" style="188"/>
    <col min="6146" max="6146" width="30.6328125" style="188" customWidth="1"/>
    <col min="6147" max="6147" width="14.36328125" style="188" customWidth="1"/>
    <col min="6148" max="6401" width="8.7265625" style="188"/>
    <col min="6402" max="6402" width="30.6328125" style="188" customWidth="1"/>
    <col min="6403" max="6403" width="14.36328125" style="188" customWidth="1"/>
    <col min="6404" max="6657" width="8.7265625" style="188"/>
    <col min="6658" max="6658" width="30.6328125" style="188" customWidth="1"/>
    <col min="6659" max="6659" width="14.36328125" style="188" customWidth="1"/>
    <col min="6660" max="6913" width="8.7265625" style="188"/>
    <col min="6914" max="6914" width="30.6328125" style="188" customWidth="1"/>
    <col min="6915" max="6915" width="14.36328125" style="188" customWidth="1"/>
    <col min="6916" max="7169" width="8.7265625" style="188"/>
    <col min="7170" max="7170" width="30.6328125" style="188" customWidth="1"/>
    <col min="7171" max="7171" width="14.36328125" style="188" customWidth="1"/>
    <col min="7172" max="7425" width="8.7265625" style="188"/>
    <col min="7426" max="7426" width="30.6328125" style="188" customWidth="1"/>
    <col min="7427" max="7427" width="14.36328125" style="188" customWidth="1"/>
    <col min="7428" max="7681" width="8.7265625" style="188"/>
    <col min="7682" max="7682" width="30.6328125" style="188" customWidth="1"/>
    <col min="7683" max="7683" width="14.36328125" style="188" customWidth="1"/>
    <col min="7684" max="7937" width="8.7265625" style="188"/>
    <col min="7938" max="7938" width="30.6328125" style="188" customWidth="1"/>
    <col min="7939" max="7939" width="14.36328125" style="188" customWidth="1"/>
    <col min="7940" max="8193" width="8.7265625" style="188"/>
    <col min="8194" max="8194" width="30.6328125" style="188" customWidth="1"/>
    <col min="8195" max="8195" width="14.36328125" style="188" customWidth="1"/>
    <col min="8196" max="8449" width="8.7265625" style="188"/>
    <col min="8450" max="8450" width="30.6328125" style="188" customWidth="1"/>
    <col min="8451" max="8451" width="14.36328125" style="188" customWidth="1"/>
    <col min="8452" max="8705" width="8.7265625" style="188"/>
    <col min="8706" max="8706" width="30.6328125" style="188" customWidth="1"/>
    <col min="8707" max="8707" width="14.36328125" style="188" customWidth="1"/>
    <col min="8708" max="8961" width="8.7265625" style="188"/>
    <col min="8962" max="8962" width="30.6328125" style="188" customWidth="1"/>
    <col min="8963" max="8963" width="14.36328125" style="188" customWidth="1"/>
    <col min="8964" max="9217" width="8.7265625" style="188"/>
    <col min="9218" max="9218" width="30.6328125" style="188" customWidth="1"/>
    <col min="9219" max="9219" width="14.36328125" style="188" customWidth="1"/>
    <col min="9220" max="9473" width="8.7265625" style="188"/>
    <col min="9474" max="9474" width="30.6328125" style="188" customWidth="1"/>
    <col min="9475" max="9475" width="14.36328125" style="188" customWidth="1"/>
    <col min="9476" max="9729" width="8.7265625" style="188"/>
    <col min="9730" max="9730" width="30.6328125" style="188" customWidth="1"/>
    <col min="9731" max="9731" width="14.36328125" style="188" customWidth="1"/>
    <col min="9732" max="9985" width="8.7265625" style="188"/>
    <col min="9986" max="9986" width="30.6328125" style="188" customWidth="1"/>
    <col min="9987" max="9987" width="14.36328125" style="188" customWidth="1"/>
    <col min="9988" max="10241" width="8.7265625" style="188"/>
    <col min="10242" max="10242" width="30.6328125" style="188" customWidth="1"/>
    <col min="10243" max="10243" width="14.36328125" style="188" customWidth="1"/>
    <col min="10244" max="10497" width="8.7265625" style="188"/>
    <col min="10498" max="10498" width="30.6328125" style="188" customWidth="1"/>
    <col min="10499" max="10499" width="14.36328125" style="188" customWidth="1"/>
    <col min="10500" max="10753" width="8.7265625" style="188"/>
    <col min="10754" max="10754" width="30.6328125" style="188" customWidth="1"/>
    <col min="10755" max="10755" width="14.36328125" style="188" customWidth="1"/>
    <col min="10756" max="11009" width="8.7265625" style="188"/>
    <col min="11010" max="11010" width="30.6328125" style="188" customWidth="1"/>
    <col min="11011" max="11011" width="14.36328125" style="188" customWidth="1"/>
    <col min="11012" max="11265" width="8.7265625" style="188"/>
    <col min="11266" max="11266" width="30.6328125" style="188" customWidth="1"/>
    <col min="11267" max="11267" width="14.36328125" style="188" customWidth="1"/>
    <col min="11268" max="11521" width="8.7265625" style="188"/>
    <col min="11522" max="11522" width="30.6328125" style="188" customWidth="1"/>
    <col min="11523" max="11523" width="14.36328125" style="188" customWidth="1"/>
    <col min="11524" max="11777" width="8.7265625" style="188"/>
    <col min="11778" max="11778" width="30.6328125" style="188" customWidth="1"/>
    <col min="11779" max="11779" width="14.36328125" style="188" customWidth="1"/>
    <col min="11780" max="12033" width="8.7265625" style="188"/>
    <col min="12034" max="12034" width="30.6328125" style="188" customWidth="1"/>
    <col min="12035" max="12035" width="14.36328125" style="188" customWidth="1"/>
    <col min="12036" max="12289" width="8.7265625" style="188"/>
    <col min="12290" max="12290" width="30.6328125" style="188" customWidth="1"/>
    <col min="12291" max="12291" width="14.36328125" style="188" customWidth="1"/>
    <col min="12292" max="12545" width="8.7265625" style="188"/>
    <col min="12546" max="12546" width="30.6328125" style="188" customWidth="1"/>
    <col min="12547" max="12547" width="14.36328125" style="188" customWidth="1"/>
    <col min="12548" max="12801" width="8.7265625" style="188"/>
    <col min="12802" max="12802" width="30.6328125" style="188" customWidth="1"/>
    <col min="12803" max="12803" width="14.36328125" style="188" customWidth="1"/>
    <col min="12804" max="13057" width="8.7265625" style="188"/>
    <col min="13058" max="13058" width="30.6328125" style="188" customWidth="1"/>
    <col min="13059" max="13059" width="14.36328125" style="188" customWidth="1"/>
    <col min="13060" max="13313" width="8.7265625" style="188"/>
    <col min="13314" max="13314" width="30.6328125" style="188" customWidth="1"/>
    <col min="13315" max="13315" width="14.36328125" style="188" customWidth="1"/>
    <col min="13316" max="13569" width="8.7265625" style="188"/>
    <col min="13570" max="13570" width="30.6328125" style="188" customWidth="1"/>
    <col min="13571" max="13571" width="14.36328125" style="188" customWidth="1"/>
    <col min="13572" max="13825" width="8.7265625" style="188"/>
    <col min="13826" max="13826" width="30.6328125" style="188" customWidth="1"/>
    <col min="13827" max="13827" width="14.36328125" style="188" customWidth="1"/>
    <col min="13828" max="14081" width="8.7265625" style="188"/>
    <col min="14082" max="14082" width="30.6328125" style="188" customWidth="1"/>
    <col min="14083" max="14083" width="14.36328125" style="188" customWidth="1"/>
    <col min="14084" max="14337" width="8.7265625" style="188"/>
    <col min="14338" max="14338" width="30.6328125" style="188" customWidth="1"/>
    <col min="14339" max="14339" width="14.36328125" style="188" customWidth="1"/>
    <col min="14340" max="14593" width="8.7265625" style="188"/>
    <col min="14594" max="14594" width="30.6328125" style="188" customWidth="1"/>
    <col min="14595" max="14595" width="14.36328125" style="188" customWidth="1"/>
    <col min="14596" max="14849" width="8.7265625" style="188"/>
    <col min="14850" max="14850" width="30.6328125" style="188" customWidth="1"/>
    <col min="14851" max="14851" width="14.36328125" style="188" customWidth="1"/>
    <col min="14852" max="15105" width="8.7265625" style="188"/>
    <col min="15106" max="15106" width="30.6328125" style="188" customWidth="1"/>
    <col min="15107" max="15107" width="14.36328125" style="188" customWidth="1"/>
    <col min="15108" max="15361" width="8.7265625" style="188"/>
    <col min="15362" max="15362" width="30.6328125" style="188" customWidth="1"/>
    <col min="15363" max="15363" width="14.36328125" style="188" customWidth="1"/>
    <col min="15364" max="15617" width="8.7265625" style="188"/>
    <col min="15618" max="15618" width="30.6328125" style="188" customWidth="1"/>
    <col min="15619" max="15619" width="14.36328125" style="188" customWidth="1"/>
    <col min="15620" max="15873" width="8.7265625" style="188"/>
    <col min="15874" max="15874" width="30.6328125" style="188" customWidth="1"/>
    <col min="15875" max="15875" width="14.36328125" style="188" customWidth="1"/>
    <col min="15876" max="16129" width="8.7265625" style="188"/>
    <col min="16130" max="16130" width="30.6328125" style="188" customWidth="1"/>
    <col min="16131" max="16131" width="14.36328125" style="188" customWidth="1"/>
    <col min="16132" max="16384" width="8.7265625" style="188"/>
  </cols>
  <sheetData>
    <row r="1" spans="1:7" ht="23" x14ac:dyDescent="0.5">
      <c r="A1" s="459" t="s">
        <v>172</v>
      </c>
      <c r="B1" s="460"/>
      <c r="C1" s="460"/>
      <c r="D1" s="460"/>
      <c r="E1" s="460"/>
      <c r="F1" s="460"/>
      <c r="G1" s="461"/>
    </row>
    <row r="2" spans="1:7" ht="13" x14ac:dyDescent="0.25">
      <c r="A2" s="273"/>
      <c r="B2" s="273"/>
      <c r="C2" s="273"/>
      <c r="D2" s="273"/>
      <c r="E2" s="273"/>
      <c r="F2" s="273"/>
      <c r="G2" s="273"/>
    </row>
    <row r="3" spans="1:7" ht="13" x14ac:dyDescent="0.25">
      <c r="A3" s="462" t="s">
        <v>174</v>
      </c>
      <c r="B3" s="462"/>
      <c r="C3" s="462"/>
      <c r="D3" s="273"/>
      <c r="E3" s="273"/>
      <c r="F3" s="463" t="s">
        <v>99</v>
      </c>
      <c r="G3" s="463"/>
    </row>
    <row r="4" spans="1:7" ht="13" x14ac:dyDescent="0.25">
      <c r="A4" s="273"/>
      <c r="B4" s="273"/>
      <c r="C4" s="273"/>
      <c r="D4" s="273"/>
      <c r="E4" s="273"/>
      <c r="F4" s="273"/>
      <c r="G4" s="273"/>
    </row>
    <row r="5" spans="1:7" ht="13" x14ac:dyDescent="0.3">
      <c r="A5" s="277"/>
      <c r="B5" s="278"/>
      <c r="C5" s="279" t="s">
        <v>219</v>
      </c>
      <c r="D5" s="278"/>
      <c r="E5" s="278"/>
      <c r="F5" s="278"/>
      <c r="G5" s="280"/>
    </row>
    <row r="6" spans="1:7" ht="13" x14ac:dyDescent="0.3">
      <c r="A6" s="361" t="s">
        <v>327</v>
      </c>
      <c r="B6" s="362" t="s">
        <v>3</v>
      </c>
      <c r="C6" s="363">
        <v>360</v>
      </c>
      <c r="D6" s="362" t="s">
        <v>328</v>
      </c>
      <c r="E6" s="364"/>
      <c r="F6" s="364"/>
      <c r="G6" s="365"/>
    </row>
    <row r="7" spans="1:7" ht="13" x14ac:dyDescent="0.3">
      <c r="A7" s="366" t="s">
        <v>329</v>
      </c>
      <c r="B7" s="286" t="s">
        <v>339</v>
      </c>
      <c r="C7" s="290">
        <v>0.33</v>
      </c>
      <c r="D7" s="286" t="s">
        <v>28</v>
      </c>
      <c r="E7" s="285"/>
      <c r="F7" s="286"/>
      <c r="G7" s="287"/>
    </row>
    <row r="8" spans="1:7" ht="13" x14ac:dyDescent="0.3">
      <c r="A8" s="366" t="s">
        <v>303</v>
      </c>
      <c r="B8" s="286" t="s">
        <v>330</v>
      </c>
      <c r="C8" s="367">
        <v>3.6999999999999998E-2</v>
      </c>
      <c r="D8" s="286"/>
      <c r="E8" s="291"/>
      <c r="F8" s="286"/>
      <c r="G8" s="287"/>
    </row>
    <row r="9" spans="1:7" ht="13" x14ac:dyDescent="0.3">
      <c r="A9" s="366" t="s">
        <v>289</v>
      </c>
      <c r="B9" s="286" t="s">
        <v>331</v>
      </c>
      <c r="C9" s="290">
        <v>5</v>
      </c>
      <c r="D9" s="286" t="s">
        <v>28</v>
      </c>
      <c r="E9" s="291"/>
      <c r="F9" s="286"/>
      <c r="G9" s="287"/>
    </row>
    <row r="10" spans="1:7" ht="13" x14ac:dyDescent="0.3">
      <c r="A10" s="366" t="s">
        <v>305</v>
      </c>
      <c r="B10" s="286" t="s">
        <v>332</v>
      </c>
      <c r="C10" s="290">
        <v>120</v>
      </c>
      <c r="D10" s="286" t="s">
        <v>28</v>
      </c>
      <c r="E10" s="291"/>
      <c r="F10" s="286"/>
      <c r="G10" s="287"/>
    </row>
    <row r="11" spans="1:7" ht="15" x14ac:dyDescent="0.3">
      <c r="A11" s="368" t="s">
        <v>293</v>
      </c>
      <c r="B11" s="301" t="s">
        <v>10</v>
      </c>
      <c r="C11" s="369">
        <v>0.8</v>
      </c>
      <c r="D11" s="301" t="s">
        <v>294</v>
      </c>
      <c r="E11" s="370"/>
      <c r="F11" s="301"/>
      <c r="G11" s="302"/>
    </row>
    <row r="12" spans="1:7" ht="13" x14ac:dyDescent="0.3">
      <c r="A12" s="303"/>
      <c r="B12" s="275"/>
      <c r="C12" s="304"/>
      <c r="D12" s="275"/>
      <c r="E12" s="286"/>
      <c r="F12" s="286"/>
      <c r="G12" s="286"/>
    </row>
    <row r="13" spans="1:7" ht="13" x14ac:dyDescent="0.3">
      <c r="A13" s="371"/>
      <c r="B13" s="308"/>
      <c r="C13" s="307" t="s">
        <v>242</v>
      </c>
      <c r="D13" s="308"/>
      <c r="E13" s="308"/>
      <c r="F13" s="308"/>
      <c r="G13" s="309"/>
    </row>
    <row r="14" spans="1:7" ht="13" x14ac:dyDescent="0.3">
      <c r="A14" s="366" t="s">
        <v>333</v>
      </c>
      <c r="B14" s="286" t="s">
        <v>334</v>
      </c>
      <c r="C14" s="372">
        <f>C7/C8</f>
        <v>8.9189189189189193</v>
      </c>
      <c r="D14" s="286" t="s">
        <v>28</v>
      </c>
      <c r="E14" s="286"/>
      <c r="F14" s="286"/>
      <c r="G14" s="287"/>
    </row>
    <row r="15" spans="1:7" ht="13" x14ac:dyDescent="0.3">
      <c r="A15" s="366" t="s">
        <v>295</v>
      </c>
      <c r="B15" s="286" t="s">
        <v>335</v>
      </c>
      <c r="C15" s="372">
        <f>C14-C9</f>
        <v>3.9189189189189193</v>
      </c>
      <c r="D15" s="286" t="s">
        <v>28</v>
      </c>
      <c r="E15" s="286"/>
      <c r="F15" s="286"/>
      <c r="G15" s="287"/>
    </row>
    <row r="16" spans="1:7" ht="13" x14ac:dyDescent="0.3">
      <c r="A16" s="366" t="s">
        <v>336</v>
      </c>
      <c r="B16" s="286" t="s">
        <v>15</v>
      </c>
      <c r="C16" s="372">
        <f>C6/C10</f>
        <v>3</v>
      </c>
      <c r="D16" s="286" t="s">
        <v>16</v>
      </c>
      <c r="E16" s="286"/>
      <c r="F16" s="286"/>
      <c r="G16" s="287"/>
    </row>
    <row r="17" spans="1:7" ht="13" x14ac:dyDescent="0.3">
      <c r="A17" s="368" t="s">
        <v>337</v>
      </c>
      <c r="B17" s="301" t="s">
        <v>338</v>
      </c>
      <c r="C17" s="373">
        <f>IF(C15&gt;E17,E17,"INCREASE PAD L")</f>
        <v>3.75</v>
      </c>
      <c r="D17" s="301" t="s">
        <v>28</v>
      </c>
      <c r="E17" s="374">
        <f>C16/C11</f>
        <v>3.75</v>
      </c>
      <c r="F17" s="375"/>
      <c r="G17" s="302"/>
    </row>
  </sheetData>
  <sheetProtection algorithmName="SHA-512" hashValue="9x+PgBaw6TNODJ4n6hcmUUFI+X64HJMzgGLW5PAiN2s+jyTMdyZlQRMRvzM8y6jdlS8QjSsdy8gdkI2KFcLOOQ==" saltValue="bVwWycOpyXQxbhQ5BIvEqA==" spinCount="100000" sheet="1" objects="1" scenarios="1"/>
  <mergeCells count="3">
    <mergeCell ref="A1:G1"/>
    <mergeCell ref="A3:C3"/>
    <mergeCell ref="F3:G3"/>
  </mergeCells>
  <conditionalFormatting sqref="C17">
    <cfRule type="expression" dxfId="3" priority="1" stopIfTrue="1">
      <formula>IF(E17&gt;C15,TRUE,FALSE)</formula>
    </cfRule>
  </conditionalFormatting>
  <dataValidations count="1">
    <dataValidation operator="greaterThanOrEqual" allowBlank="1" showInputMessage="1" showErrorMessage="1" errorTitle="Effluent Surfacing Probable!" error="ID must be less than D!  Increase pad length!"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xr:uid="{B74A009B-551B-4102-B780-CD5FC5D9DB6F}"/>
  </dataValidations>
  <pageMargins left="0.75" right="0.75" top="0.5" bottom="0.5" header="0.25" footer="0.25"/>
  <pageSetup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20C95-DB11-427A-83AA-5709826DB92F}">
  <dimension ref="A1:M55"/>
  <sheetViews>
    <sheetView zoomScale="98" zoomScaleNormal="98" workbookViewId="0">
      <selection sqref="A1:E1"/>
    </sheetView>
  </sheetViews>
  <sheetFormatPr defaultRowHeight="12.5" x14ac:dyDescent="0.25"/>
  <cols>
    <col min="1" max="1" width="41" style="188" customWidth="1"/>
    <col min="2" max="2" width="16.81640625" style="188" customWidth="1"/>
    <col min="3" max="3" width="7" style="188" customWidth="1"/>
    <col min="4" max="5" width="14.6328125" style="188" customWidth="1"/>
    <col min="6" max="6" width="7.6328125" style="188" customWidth="1"/>
    <col min="7" max="10" width="14.6328125" style="188" customWidth="1"/>
    <col min="11" max="12" width="8.7265625" style="188"/>
    <col min="13" max="13" width="7.6328125" style="188" customWidth="1"/>
    <col min="14" max="256" width="8.7265625" style="188"/>
    <col min="257" max="257" width="41" style="188" customWidth="1"/>
    <col min="258" max="258" width="16.81640625" style="188" customWidth="1"/>
    <col min="259" max="259" width="7" style="188" customWidth="1"/>
    <col min="260" max="261" width="14.6328125" style="188" customWidth="1"/>
    <col min="262" max="262" width="7.6328125" style="188" customWidth="1"/>
    <col min="263" max="266" width="14.6328125" style="188" customWidth="1"/>
    <col min="267" max="268" width="8.7265625" style="188"/>
    <col min="269" max="269" width="7.6328125" style="188" customWidth="1"/>
    <col min="270" max="512" width="8.7265625" style="188"/>
    <col min="513" max="513" width="41" style="188" customWidth="1"/>
    <col min="514" max="514" width="16.81640625" style="188" customWidth="1"/>
    <col min="515" max="515" width="7" style="188" customWidth="1"/>
    <col min="516" max="517" width="14.6328125" style="188" customWidth="1"/>
    <col min="518" max="518" width="7.6328125" style="188" customWidth="1"/>
    <col min="519" max="522" width="14.6328125" style="188" customWidth="1"/>
    <col min="523" max="524" width="8.7265625" style="188"/>
    <col min="525" max="525" width="7.6328125" style="188" customWidth="1"/>
    <col min="526" max="768" width="8.7265625" style="188"/>
    <col min="769" max="769" width="41" style="188" customWidth="1"/>
    <col min="770" max="770" width="16.81640625" style="188" customWidth="1"/>
    <col min="771" max="771" width="7" style="188" customWidth="1"/>
    <col min="772" max="773" width="14.6328125" style="188" customWidth="1"/>
    <col min="774" max="774" width="7.6328125" style="188" customWidth="1"/>
    <col min="775" max="778" width="14.6328125" style="188" customWidth="1"/>
    <col min="779" max="780" width="8.7265625" style="188"/>
    <col min="781" max="781" width="7.6328125" style="188" customWidth="1"/>
    <col min="782" max="1024" width="8.7265625" style="188"/>
    <col min="1025" max="1025" width="41" style="188" customWidth="1"/>
    <col min="1026" max="1026" width="16.81640625" style="188" customWidth="1"/>
    <col min="1027" max="1027" width="7" style="188" customWidth="1"/>
    <col min="1028" max="1029" width="14.6328125" style="188" customWidth="1"/>
    <col min="1030" max="1030" width="7.6328125" style="188" customWidth="1"/>
    <col min="1031" max="1034" width="14.6328125" style="188" customWidth="1"/>
    <col min="1035" max="1036" width="8.7265625" style="188"/>
    <col min="1037" max="1037" width="7.6328125" style="188" customWidth="1"/>
    <col min="1038" max="1280" width="8.7265625" style="188"/>
    <col min="1281" max="1281" width="41" style="188" customWidth="1"/>
    <col min="1282" max="1282" width="16.81640625" style="188" customWidth="1"/>
    <col min="1283" max="1283" width="7" style="188" customWidth="1"/>
    <col min="1284" max="1285" width="14.6328125" style="188" customWidth="1"/>
    <col min="1286" max="1286" width="7.6328125" style="188" customWidth="1"/>
    <col min="1287" max="1290" width="14.6328125" style="188" customWidth="1"/>
    <col min="1291" max="1292" width="8.7265625" style="188"/>
    <col min="1293" max="1293" width="7.6328125" style="188" customWidth="1"/>
    <col min="1294" max="1536" width="8.7265625" style="188"/>
    <col min="1537" max="1537" width="41" style="188" customWidth="1"/>
    <col min="1538" max="1538" width="16.81640625" style="188" customWidth="1"/>
    <col min="1539" max="1539" width="7" style="188" customWidth="1"/>
    <col min="1540" max="1541" width="14.6328125" style="188" customWidth="1"/>
    <col min="1542" max="1542" width="7.6328125" style="188" customWidth="1"/>
    <col min="1543" max="1546" width="14.6328125" style="188" customWidth="1"/>
    <col min="1547" max="1548" width="8.7265625" style="188"/>
    <col min="1549" max="1549" width="7.6328125" style="188" customWidth="1"/>
    <col min="1550" max="1792" width="8.7265625" style="188"/>
    <col min="1793" max="1793" width="41" style="188" customWidth="1"/>
    <col min="1794" max="1794" width="16.81640625" style="188" customWidth="1"/>
    <col min="1795" max="1795" width="7" style="188" customWidth="1"/>
    <col min="1796" max="1797" width="14.6328125" style="188" customWidth="1"/>
    <col min="1798" max="1798" width="7.6328125" style="188" customWidth="1"/>
    <col min="1799" max="1802" width="14.6328125" style="188" customWidth="1"/>
    <col min="1803" max="1804" width="8.7265625" style="188"/>
    <col min="1805" max="1805" width="7.6328125" style="188" customWidth="1"/>
    <col min="1806" max="2048" width="8.7265625" style="188"/>
    <col min="2049" max="2049" width="41" style="188" customWidth="1"/>
    <col min="2050" max="2050" width="16.81640625" style="188" customWidth="1"/>
    <col min="2051" max="2051" width="7" style="188" customWidth="1"/>
    <col min="2052" max="2053" width="14.6328125" style="188" customWidth="1"/>
    <col min="2054" max="2054" width="7.6328125" style="188" customWidth="1"/>
    <col min="2055" max="2058" width="14.6328125" style="188" customWidth="1"/>
    <col min="2059" max="2060" width="8.7265625" style="188"/>
    <col min="2061" max="2061" width="7.6328125" style="188" customWidth="1"/>
    <col min="2062" max="2304" width="8.7265625" style="188"/>
    <col min="2305" max="2305" width="41" style="188" customWidth="1"/>
    <col min="2306" max="2306" width="16.81640625" style="188" customWidth="1"/>
    <col min="2307" max="2307" width="7" style="188" customWidth="1"/>
    <col min="2308" max="2309" width="14.6328125" style="188" customWidth="1"/>
    <col min="2310" max="2310" width="7.6328125" style="188" customWidth="1"/>
    <col min="2311" max="2314" width="14.6328125" style="188" customWidth="1"/>
    <col min="2315" max="2316" width="8.7265625" style="188"/>
    <col min="2317" max="2317" width="7.6328125" style="188" customWidth="1"/>
    <col min="2318" max="2560" width="8.7265625" style="188"/>
    <col min="2561" max="2561" width="41" style="188" customWidth="1"/>
    <col min="2562" max="2562" width="16.81640625" style="188" customWidth="1"/>
    <col min="2563" max="2563" width="7" style="188" customWidth="1"/>
    <col min="2564" max="2565" width="14.6328125" style="188" customWidth="1"/>
    <col min="2566" max="2566" width="7.6328125" style="188" customWidth="1"/>
    <col min="2567" max="2570" width="14.6328125" style="188" customWidth="1"/>
    <col min="2571" max="2572" width="8.7265625" style="188"/>
    <col min="2573" max="2573" width="7.6328125" style="188" customWidth="1"/>
    <col min="2574" max="2816" width="8.7265625" style="188"/>
    <col min="2817" max="2817" width="41" style="188" customWidth="1"/>
    <col min="2818" max="2818" width="16.81640625" style="188" customWidth="1"/>
    <col min="2819" max="2819" width="7" style="188" customWidth="1"/>
    <col min="2820" max="2821" width="14.6328125" style="188" customWidth="1"/>
    <col min="2822" max="2822" width="7.6328125" style="188" customWidth="1"/>
    <col min="2823" max="2826" width="14.6328125" style="188" customWidth="1"/>
    <col min="2827" max="2828" width="8.7265625" style="188"/>
    <col min="2829" max="2829" width="7.6328125" style="188" customWidth="1"/>
    <col min="2830" max="3072" width="8.7265625" style="188"/>
    <col min="3073" max="3073" width="41" style="188" customWidth="1"/>
    <col min="3074" max="3074" width="16.81640625" style="188" customWidth="1"/>
    <col min="3075" max="3075" width="7" style="188" customWidth="1"/>
    <col min="3076" max="3077" width="14.6328125" style="188" customWidth="1"/>
    <col min="3078" max="3078" width="7.6328125" style="188" customWidth="1"/>
    <col min="3079" max="3082" width="14.6328125" style="188" customWidth="1"/>
    <col min="3083" max="3084" width="8.7265625" style="188"/>
    <col min="3085" max="3085" width="7.6328125" style="188" customWidth="1"/>
    <col min="3086" max="3328" width="8.7265625" style="188"/>
    <col min="3329" max="3329" width="41" style="188" customWidth="1"/>
    <col min="3330" max="3330" width="16.81640625" style="188" customWidth="1"/>
    <col min="3331" max="3331" width="7" style="188" customWidth="1"/>
    <col min="3332" max="3333" width="14.6328125" style="188" customWidth="1"/>
    <col min="3334" max="3334" width="7.6328125" style="188" customWidth="1"/>
    <col min="3335" max="3338" width="14.6328125" style="188" customWidth="1"/>
    <col min="3339" max="3340" width="8.7265625" style="188"/>
    <col min="3341" max="3341" width="7.6328125" style="188" customWidth="1"/>
    <col min="3342" max="3584" width="8.7265625" style="188"/>
    <col min="3585" max="3585" width="41" style="188" customWidth="1"/>
    <col min="3586" max="3586" width="16.81640625" style="188" customWidth="1"/>
    <col min="3587" max="3587" width="7" style="188" customWidth="1"/>
    <col min="3588" max="3589" width="14.6328125" style="188" customWidth="1"/>
    <col min="3590" max="3590" width="7.6328125" style="188" customWidth="1"/>
    <col min="3591" max="3594" width="14.6328125" style="188" customWidth="1"/>
    <col min="3595" max="3596" width="8.7265625" style="188"/>
    <col min="3597" max="3597" width="7.6328125" style="188" customWidth="1"/>
    <col min="3598" max="3840" width="8.7265625" style="188"/>
    <col min="3841" max="3841" width="41" style="188" customWidth="1"/>
    <col min="3842" max="3842" width="16.81640625" style="188" customWidth="1"/>
    <col min="3843" max="3843" width="7" style="188" customWidth="1"/>
    <col min="3844" max="3845" width="14.6328125" style="188" customWidth="1"/>
    <col min="3846" max="3846" width="7.6328125" style="188" customWidth="1"/>
    <col min="3847" max="3850" width="14.6328125" style="188" customWidth="1"/>
    <col min="3851" max="3852" width="8.7265625" style="188"/>
    <col min="3853" max="3853" width="7.6328125" style="188" customWidth="1"/>
    <col min="3854" max="4096" width="8.7265625" style="188"/>
    <col min="4097" max="4097" width="41" style="188" customWidth="1"/>
    <col min="4098" max="4098" width="16.81640625" style="188" customWidth="1"/>
    <col min="4099" max="4099" width="7" style="188" customWidth="1"/>
    <col min="4100" max="4101" width="14.6328125" style="188" customWidth="1"/>
    <col min="4102" max="4102" width="7.6328125" style="188" customWidth="1"/>
    <col min="4103" max="4106" width="14.6328125" style="188" customWidth="1"/>
    <col min="4107" max="4108" width="8.7265625" style="188"/>
    <col min="4109" max="4109" width="7.6328125" style="188" customWidth="1"/>
    <col min="4110" max="4352" width="8.7265625" style="188"/>
    <col min="4353" max="4353" width="41" style="188" customWidth="1"/>
    <col min="4354" max="4354" width="16.81640625" style="188" customWidth="1"/>
    <col min="4355" max="4355" width="7" style="188" customWidth="1"/>
    <col min="4356" max="4357" width="14.6328125" style="188" customWidth="1"/>
    <col min="4358" max="4358" width="7.6328125" style="188" customWidth="1"/>
    <col min="4359" max="4362" width="14.6328125" style="188" customWidth="1"/>
    <col min="4363" max="4364" width="8.7265625" style="188"/>
    <col min="4365" max="4365" width="7.6328125" style="188" customWidth="1"/>
    <col min="4366" max="4608" width="8.7265625" style="188"/>
    <col min="4609" max="4609" width="41" style="188" customWidth="1"/>
    <col min="4610" max="4610" width="16.81640625" style="188" customWidth="1"/>
    <col min="4611" max="4611" width="7" style="188" customWidth="1"/>
    <col min="4612" max="4613" width="14.6328125" style="188" customWidth="1"/>
    <col min="4614" max="4614" width="7.6328125" style="188" customWidth="1"/>
    <col min="4615" max="4618" width="14.6328125" style="188" customWidth="1"/>
    <col min="4619" max="4620" width="8.7265625" style="188"/>
    <col min="4621" max="4621" width="7.6328125" style="188" customWidth="1"/>
    <col min="4622" max="4864" width="8.7265625" style="188"/>
    <col min="4865" max="4865" width="41" style="188" customWidth="1"/>
    <col min="4866" max="4866" width="16.81640625" style="188" customWidth="1"/>
    <col min="4867" max="4867" width="7" style="188" customWidth="1"/>
    <col min="4868" max="4869" width="14.6328125" style="188" customWidth="1"/>
    <col min="4870" max="4870" width="7.6328125" style="188" customWidth="1"/>
    <col min="4871" max="4874" width="14.6328125" style="188" customWidth="1"/>
    <col min="4875" max="4876" width="8.7265625" style="188"/>
    <col min="4877" max="4877" width="7.6328125" style="188" customWidth="1"/>
    <col min="4878" max="5120" width="8.7265625" style="188"/>
    <col min="5121" max="5121" width="41" style="188" customWidth="1"/>
    <col min="5122" max="5122" width="16.81640625" style="188" customWidth="1"/>
    <col min="5123" max="5123" width="7" style="188" customWidth="1"/>
    <col min="5124" max="5125" width="14.6328125" style="188" customWidth="1"/>
    <col min="5126" max="5126" width="7.6328125" style="188" customWidth="1"/>
    <col min="5127" max="5130" width="14.6328125" style="188" customWidth="1"/>
    <col min="5131" max="5132" width="8.7265625" style="188"/>
    <col min="5133" max="5133" width="7.6328125" style="188" customWidth="1"/>
    <col min="5134" max="5376" width="8.7265625" style="188"/>
    <col min="5377" max="5377" width="41" style="188" customWidth="1"/>
    <col min="5378" max="5378" width="16.81640625" style="188" customWidth="1"/>
    <col min="5379" max="5379" width="7" style="188" customWidth="1"/>
    <col min="5380" max="5381" width="14.6328125" style="188" customWidth="1"/>
    <col min="5382" max="5382" width="7.6328125" style="188" customWidth="1"/>
    <col min="5383" max="5386" width="14.6328125" style="188" customWidth="1"/>
    <col min="5387" max="5388" width="8.7265625" style="188"/>
    <col min="5389" max="5389" width="7.6328125" style="188" customWidth="1"/>
    <col min="5390" max="5632" width="8.7265625" style="188"/>
    <col min="5633" max="5633" width="41" style="188" customWidth="1"/>
    <col min="5634" max="5634" width="16.81640625" style="188" customWidth="1"/>
    <col min="5635" max="5635" width="7" style="188" customWidth="1"/>
    <col min="5636" max="5637" width="14.6328125" style="188" customWidth="1"/>
    <col min="5638" max="5638" width="7.6328125" style="188" customWidth="1"/>
    <col min="5639" max="5642" width="14.6328125" style="188" customWidth="1"/>
    <col min="5643" max="5644" width="8.7265625" style="188"/>
    <col min="5645" max="5645" width="7.6328125" style="188" customWidth="1"/>
    <col min="5646" max="5888" width="8.7265625" style="188"/>
    <col min="5889" max="5889" width="41" style="188" customWidth="1"/>
    <col min="5890" max="5890" width="16.81640625" style="188" customWidth="1"/>
    <col min="5891" max="5891" width="7" style="188" customWidth="1"/>
    <col min="5892" max="5893" width="14.6328125" style="188" customWidth="1"/>
    <col min="5894" max="5894" width="7.6328125" style="188" customWidth="1"/>
    <col min="5895" max="5898" width="14.6328125" style="188" customWidth="1"/>
    <col min="5899" max="5900" width="8.7265625" style="188"/>
    <col min="5901" max="5901" width="7.6328125" style="188" customWidth="1"/>
    <col min="5902" max="6144" width="8.7265625" style="188"/>
    <col min="6145" max="6145" width="41" style="188" customWidth="1"/>
    <col min="6146" max="6146" width="16.81640625" style="188" customWidth="1"/>
    <col min="6147" max="6147" width="7" style="188" customWidth="1"/>
    <col min="6148" max="6149" width="14.6328125" style="188" customWidth="1"/>
    <col min="6150" max="6150" width="7.6328125" style="188" customWidth="1"/>
    <col min="6151" max="6154" width="14.6328125" style="188" customWidth="1"/>
    <col min="6155" max="6156" width="8.7265625" style="188"/>
    <col min="6157" max="6157" width="7.6328125" style="188" customWidth="1"/>
    <col min="6158" max="6400" width="8.7265625" style="188"/>
    <col min="6401" max="6401" width="41" style="188" customWidth="1"/>
    <col min="6402" max="6402" width="16.81640625" style="188" customWidth="1"/>
    <col min="6403" max="6403" width="7" style="188" customWidth="1"/>
    <col min="6404" max="6405" width="14.6328125" style="188" customWidth="1"/>
    <col min="6406" max="6406" width="7.6328125" style="188" customWidth="1"/>
    <col min="6407" max="6410" width="14.6328125" style="188" customWidth="1"/>
    <col min="6411" max="6412" width="8.7265625" style="188"/>
    <col min="6413" max="6413" width="7.6328125" style="188" customWidth="1"/>
    <col min="6414" max="6656" width="8.7265625" style="188"/>
    <col min="6657" max="6657" width="41" style="188" customWidth="1"/>
    <col min="6658" max="6658" width="16.81640625" style="188" customWidth="1"/>
    <col min="6659" max="6659" width="7" style="188" customWidth="1"/>
    <col min="6660" max="6661" width="14.6328125" style="188" customWidth="1"/>
    <col min="6662" max="6662" width="7.6328125" style="188" customWidth="1"/>
    <col min="6663" max="6666" width="14.6328125" style="188" customWidth="1"/>
    <col min="6667" max="6668" width="8.7265625" style="188"/>
    <col min="6669" max="6669" width="7.6328125" style="188" customWidth="1"/>
    <col min="6670" max="6912" width="8.7265625" style="188"/>
    <col min="6913" max="6913" width="41" style="188" customWidth="1"/>
    <col min="6914" max="6914" width="16.81640625" style="188" customWidth="1"/>
    <col min="6915" max="6915" width="7" style="188" customWidth="1"/>
    <col min="6916" max="6917" width="14.6328125" style="188" customWidth="1"/>
    <col min="6918" max="6918" width="7.6328125" style="188" customWidth="1"/>
    <col min="6919" max="6922" width="14.6328125" style="188" customWidth="1"/>
    <col min="6923" max="6924" width="8.7265625" style="188"/>
    <col min="6925" max="6925" width="7.6328125" style="188" customWidth="1"/>
    <col min="6926" max="7168" width="8.7265625" style="188"/>
    <col min="7169" max="7169" width="41" style="188" customWidth="1"/>
    <col min="7170" max="7170" width="16.81640625" style="188" customWidth="1"/>
    <col min="7171" max="7171" width="7" style="188" customWidth="1"/>
    <col min="7172" max="7173" width="14.6328125" style="188" customWidth="1"/>
    <col min="7174" max="7174" width="7.6328125" style="188" customWidth="1"/>
    <col min="7175" max="7178" width="14.6328125" style="188" customWidth="1"/>
    <col min="7179" max="7180" width="8.7265625" style="188"/>
    <col min="7181" max="7181" width="7.6328125" style="188" customWidth="1"/>
    <col min="7182" max="7424" width="8.7265625" style="188"/>
    <col min="7425" max="7425" width="41" style="188" customWidth="1"/>
    <col min="7426" max="7426" width="16.81640625" style="188" customWidth="1"/>
    <col min="7427" max="7427" width="7" style="188" customWidth="1"/>
    <col min="7428" max="7429" width="14.6328125" style="188" customWidth="1"/>
    <col min="7430" max="7430" width="7.6328125" style="188" customWidth="1"/>
    <col min="7431" max="7434" width="14.6328125" style="188" customWidth="1"/>
    <col min="7435" max="7436" width="8.7265625" style="188"/>
    <col min="7437" max="7437" width="7.6328125" style="188" customWidth="1"/>
    <col min="7438" max="7680" width="8.7265625" style="188"/>
    <col min="7681" max="7681" width="41" style="188" customWidth="1"/>
    <col min="7682" max="7682" width="16.81640625" style="188" customWidth="1"/>
    <col min="7683" max="7683" width="7" style="188" customWidth="1"/>
    <col min="7684" max="7685" width="14.6328125" style="188" customWidth="1"/>
    <col min="7686" max="7686" width="7.6328125" style="188" customWidth="1"/>
    <col min="7687" max="7690" width="14.6328125" style="188" customWidth="1"/>
    <col min="7691" max="7692" width="8.7265625" style="188"/>
    <col min="7693" max="7693" width="7.6328125" style="188" customWidth="1"/>
    <col min="7694" max="7936" width="8.7265625" style="188"/>
    <col min="7937" max="7937" width="41" style="188" customWidth="1"/>
    <col min="7938" max="7938" width="16.81640625" style="188" customWidth="1"/>
    <col min="7939" max="7939" width="7" style="188" customWidth="1"/>
    <col min="7940" max="7941" width="14.6328125" style="188" customWidth="1"/>
    <col min="7942" max="7942" width="7.6328125" style="188" customWidth="1"/>
    <col min="7943" max="7946" width="14.6328125" style="188" customWidth="1"/>
    <col min="7947" max="7948" width="8.7265625" style="188"/>
    <col min="7949" max="7949" width="7.6328125" style="188" customWidth="1"/>
    <col min="7950" max="8192" width="8.7265625" style="188"/>
    <col min="8193" max="8193" width="41" style="188" customWidth="1"/>
    <col min="8194" max="8194" width="16.81640625" style="188" customWidth="1"/>
    <col min="8195" max="8195" width="7" style="188" customWidth="1"/>
    <col min="8196" max="8197" width="14.6328125" style="188" customWidth="1"/>
    <col min="8198" max="8198" width="7.6328125" style="188" customWidth="1"/>
    <col min="8199" max="8202" width="14.6328125" style="188" customWidth="1"/>
    <col min="8203" max="8204" width="8.7265625" style="188"/>
    <col min="8205" max="8205" width="7.6328125" style="188" customWidth="1"/>
    <col min="8206" max="8448" width="8.7265625" style="188"/>
    <col min="8449" max="8449" width="41" style="188" customWidth="1"/>
    <col min="8450" max="8450" width="16.81640625" style="188" customWidth="1"/>
    <col min="8451" max="8451" width="7" style="188" customWidth="1"/>
    <col min="8452" max="8453" width="14.6328125" style="188" customWidth="1"/>
    <col min="8454" max="8454" width="7.6328125" style="188" customWidth="1"/>
    <col min="8455" max="8458" width="14.6328125" style="188" customWidth="1"/>
    <col min="8459" max="8460" width="8.7265625" style="188"/>
    <col min="8461" max="8461" width="7.6328125" style="188" customWidth="1"/>
    <col min="8462" max="8704" width="8.7265625" style="188"/>
    <col min="8705" max="8705" width="41" style="188" customWidth="1"/>
    <col min="8706" max="8706" width="16.81640625" style="188" customWidth="1"/>
    <col min="8707" max="8707" width="7" style="188" customWidth="1"/>
    <col min="8708" max="8709" width="14.6328125" style="188" customWidth="1"/>
    <col min="8710" max="8710" width="7.6328125" style="188" customWidth="1"/>
    <col min="8711" max="8714" width="14.6328125" style="188" customWidth="1"/>
    <col min="8715" max="8716" width="8.7265625" style="188"/>
    <col min="8717" max="8717" width="7.6328125" style="188" customWidth="1"/>
    <col min="8718" max="8960" width="8.7265625" style="188"/>
    <col min="8961" max="8961" width="41" style="188" customWidth="1"/>
    <col min="8962" max="8962" width="16.81640625" style="188" customWidth="1"/>
    <col min="8963" max="8963" width="7" style="188" customWidth="1"/>
    <col min="8964" max="8965" width="14.6328125" style="188" customWidth="1"/>
    <col min="8966" max="8966" width="7.6328125" style="188" customWidth="1"/>
    <col min="8967" max="8970" width="14.6328125" style="188" customWidth="1"/>
    <col min="8971" max="8972" width="8.7265625" style="188"/>
    <col min="8973" max="8973" width="7.6328125" style="188" customWidth="1"/>
    <col min="8974" max="9216" width="8.7265625" style="188"/>
    <col min="9217" max="9217" width="41" style="188" customWidth="1"/>
    <col min="9218" max="9218" width="16.81640625" style="188" customWidth="1"/>
    <col min="9219" max="9219" width="7" style="188" customWidth="1"/>
    <col min="9220" max="9221" width="14.6328125" style="188" customWidth="1"/>
    <col min="9222" max="9222" width="7.6328125" style="188" customWidth="1"/>
    <col min="9223" max="9226" width="14.6328125" style="188" customWidth="1"/>
    <col min="9227" max="9228" width="8.7265625" style="188"/>
    <col min="9229" max="9229" width="7.6328125" style="188" customWidth="1"/>
    <col min="9230" max="9472" width="8.7265625" style="188"/>
    <col min="9473" max="9473" width="41" style="188" customWidth="1"/>
    <col min="9474" max="9474" width="16.81640625" style="188" customWidth="1"/>
    <col min="9475" max="9475" width="7" style="188" customWidth="1"/>
    <col min="9476" max="9477" width="14.6328125" style="188" customWidth="1"/>
    <col min="9478" max="9478" width="7.6328125" style="188" customWidth="1"/>
    <col min="9479" max="9482" width="14.6328125" style="188" customWidth="1"/>
    <col min="9483" max="9484" width="8.7265625" style="188"/>
    <col min="9485" max="9485" width="7.6328125" style="188" customWidth="1"/>
    <col min="9486" max="9728" width="8.7265625" style="188"/>
    <col min="9729" max="9729" width="41" style="188" customWidth="1"/>
    <col min="9730" max="9730" width="16.81640625" style="188" customWidth="1"/>
    <col min="9731" max="9731" width="7" style="188" customWidth="1"/>
    <col min="9732" max="9733" width="14.6328125" style="188" customWidth="1"/>
    <col min="9734" max="9734" width="7.6328125" style="188" customWidth="1"/>
    <col min="9735" max="9738" width="14.6328125" style="188" customWidth="1"/>
    <col min="9739" max="9740" width="8.7265625" style="188"/>
    <col min="9741" max="9741" width="7.6328125" style="188" customWidth="1"/>
    <col min="9742" max="9984" width="8.7265625" style="188"/>
    <col min="9985" max="9985" width="41" style="188" customWidth="1"/>
    <col min="9986" max="9986" width="16.81640625" style="188" customWidth="1"/>
    <col min="9987" max="9987" width="7" style="188" customWidth="1"/>
    <col min="9988" max="9989" width="14.6328125" style="188" customWidth="1"/>
    <col min="9990" max="9990" width="7.6328125" style="188" customWidth="1"/>
    <col min="9991" max="9994" width="14.6328125" style="188" customWidth="1"/>
    <col min="9995" max="9996" width="8.7265625" style="188"/>
    <col min="9997" max="9997" width="7.6328125" style="188" customWidth="1"/>
    <col min="9998" max="10240" width="8.7265625" style="188"/>
    <col min="10241" max="10241" width="41" style="188" customWidth="1"/>
    <col min="10242" max="10242" width="16.81640625" style="188" customWidth="1"/>
    <col min="10243" max="10243" width="7" style="188" customWidth="1"/>
    <col min="10244" max="10245" width="14.6328125" style="188" customWidth="1"/>
    <col min="10246" max="10246" width="7.6328125" style="188" customWidth="1"/>
    <col min="10247" max="10250" width="14.6328125" style="188" customWidth="1"/>
    <col min="10251" max="10252" width="8.7265625" style="188"/>
    <col min="10253" max="10253" width="7.6328125" style="188" customWidth="1"/>
    <col min="10254" max="10496" width="8.7265625" style="188"/>
    <col min="10497" max="10497" width="41" style="188" customWidth="1"/>
    <col min="10498" max="10498" width="16.81640625" style="188" customWidth="1"/>
    <col min="10499" max="10499" width="7" style="188" customWidth="1"/>
    <col min="10500" max="10501" width="14.6328125" style="188" customWidth="1"/>
    <col min="10502" max="10502" width="7.6328125" style="188" customWidth="1"/>
    <col min="10503" max="10506" width="14.6328125" style="188" customWidth="1"/>
    <col min="10507" max="10508" width="8.7265625" style="188"/>
    <col min="10509" max="10509" width="7.6328125" style="188" customWidth="1"/>
    <col min="10510" max="10752" width="8.7265625" style="188"/>
    <col min="10753" max="10753" width="41" style="188" customWidth="1"/>
    <col min="10754" max="10754" width="16.81640625" style="188" customWidth="1"/>
    <col min="10755" max="10755" width="7" style="188" customWidth="1"/>
    <col min="10756" max="10757" width="14.6328125" style="188" customWidth="1"/>
    <col min="10758" max="10758" width="7.6328125" style="188" customWidth="1"/>
    <col min="10759" max="10762" width="14.6328125" style="188" customWidth="1"/>
    <col min="10763" max="10764" width="8.7265625" style="188"/>
    <col min="10765" max="10765" width="7.6328125" style="188" customWidth="1"/>
    <col min="10766" max="11008" width="8.7265625" style="188"/>
    <col min="11009" max="11009" width="41" style="188" customWidth="1"/>
    <col min="11010" max="11010" width="16.81640625" style="188" customWidth="1"/>
    <col min="11011" max="11011" width="7" style="188" customWidth="1"/>
    <col min="11012" max="11013" width="14.6328125" style="188" customWidth="1"/>
    <col min="11014" max="11014" width="7.6328125" style="188" customWidth="1"/>
    <col min="11015" max="11018" width="14.6328125" style="188" customWidth="1"/>
    <col min="11019" max="11020" width="8.7265625" style="188"/>
    <col min="11021" max="11021" width="7.6328125" style="188" customWidth="1"/>
    <col min="11022" max="11264" width="8.7265625" style="188"/>
    <col min="11265" max="11265" width="41" style="188" customWidth="1"/>
    <col min="11266" max="11266" width="16.81640625" style="188" customWidth="1"/>
    <col min="11267" max="11267" width="7" style="188" customWidth="1"/>
    <col min="11268" max="11269" width="14.6328125" style="188" customWidth="1"/>
    <col min="11270" max="11270" width="7.6328125" style="188" customWidth="1"/>
    <col min="11271" max="11274" width="14.6328125" style="188" customWidth="1"/>
    <col min="11275" max="11276" width="8.7265625" style="188"/>
    <col min="11277" max="11277" width="7.6328125" style="188" customWidth="1"/>
    <col min="11278" max="11520" width="8.7265625" style="188"/>
    <col min="11521" max="11521" width="41" style="188" customWidth="1"/>
    <col min="11522" max="11522" width="16.81640625" style="188" customWidth="1"/>
    <col min="11523" max="11523" width="7" style="188" customWidth="1"/>
    <col min="11524" max="11525" width="14.6328125" style="188" customWidth="1"/>
    <col min="11526" max="11526" width="7.6328125" style="188" customWidth="1"/>
    <col min="11527" max="11530" width="14.6328125" style="188" customWidth="1"/>
    <col min="11531" max="11532" width="8.7265625" style="188"/>
    <col min="11533" max="11533" width="7.6328125" style="188" customWidth="1"/>
    <col min="11534" max="11776" width="8.7265625" style="188"/>
    <col min="11777" max="11777" width="41" style="188" customWidth="1"/>
    <col min="11778" max="11778" width="16.81640625" style="188" customWidth="1"/>
    <col min="11779" max="11779" width="7" style="188" customWidth="1"/>
    <col min="11780" max="11781" width="14.6328125" style="188" customWidth="1"/>
    <col min="11782" max="11782" width="7.6328125" style="188" customWidth="1"/>
    <col min="11783" max="11786" width="14.6328125" style="188" customWidth="1"/>
    <col min="11787" max="11788" width="8.7265625" style="188"/>
    <col min="11789" max="11789" width="7.6328125" style="188" customWidth="1"/>
    <col min="11790" max="12032" width="8.7265625" style="188"/>
    <col min="12033" max="12033" width="41" style="188" customWidth="1"/>
    <col min="12034" max="12034" width="16.81640625" style="188" customWidth="1"/>
    <col min="12035" max="12035" width="7" style="188" customWidth="1"/>
    <col min="12036" max="12037" width="14.6328125" style="188" customWidth="1"/>
    <col min="12038" max="12038" width="7.6328125" style="188" customWidth="1"/>
    <col min="12039" max="12042" width="14.6328125" style="188" customWidth="1"/>
    <col min="12043" max="12044" width="8.7265625" style="188"/>
    <col min="12045" max="12045" width="7.6328125" style="188" customWidth="1"/>
    <col min="12046" max="12288" width="8.7265625" style="188"/>
    <col min="12289" max="12289" width="41" style="188" customWidth="1"/>
    <col min="12290" max="12290" width="16.81640625" style="188" customWidth="1"/>
    <col min="12291" max="12291" width="7" style="188" customWidth="1"/>
    <col min="12292" max="12293" width="14.6328125" style="188" customWidth="1"/>
    <col min="12294" max="12294" width="7.6328125" style="188" customWidth="1"/>
    <col min="12295" max="12298" width="14.6328125" style="188" customWidth="1"/>
    <col min="12299" max="12300" width="8.7265625" style="188"/>
    <col min="12301" max="12301" width="7.6328125" style="188" customWidth="1"/>
    <col min="12302" max="12544" width="8.7265625" style="188"/>
    <col min="12545" max="12545" width="41" style="188" customWidth="1"/>
    <col min="12546" max="12546" width="16.81640625" style="188" customWidth="1"/>
    <col min="12547" max="12547" width="7" style="188" customWidth="1"/>
    <col min="12548" max="12549" width="14.6328125" style="188" customWidth="1"/>
    <col min="12550" max="12550" width="7.6328125" style="188" customWidth="1"/>
    <col min="12551" max="12554" width="14.6328125" style="188" customWidth="1"/>
    <col min="12555" max="12556" width="8.7265625" style="188"/>
    <col min="12557" max="12557" width="7.6328125" style="188" customWidth="1"/>
    <col min="12558" max="12800" width="8.7265625" style="188"/>
    <col min="12801" max="12801" width="41" style="188" customWidth="1"/>
    <col min="12802" max="12802" width="16.81640625" style="188" customWidth="1"/>
    <col min="12803" max="12803" width="7" style="188" customWidth="1"/>
    <col min="12804" max="12805" width="14.6328125" style="188" customWidth="1"/>
    <col min="12806" max="12806" width="7.6328125" style="188" customWidth="1"/>
    <col min="12807" max="12810" width="14.6328125" style="188" customWidth="1"/>
    <col min="12811" max="12812" width="8.7265625" style="188"/>
    <col min="12813" max="12813" width="7.6328125" style="188" customWidth="1"/>
    <col min="12814" max="13056" width="8.7265625" style="188"/>
    <col min="13057" max="13057" width="41" style="188" customWidth="1"/>
    <col min="13058" max="13058" width="16.81640625" style="188" customWidth="1"/>
    <col min="13059" max="13059" width="7" style="188" customWidth="1"/>
    <col min="13060" max="13061" width="14.6328125" style="188" customWidth="1"/>
    <col min="13062" max="13062" width="7.6328125" style="188" customWidth="1"/>
    <col min="13063" max="13066" width="14.6328125" style="188" customWidth="1"/>
    <col min="13067" max="13068" width="8.7265625" style="188"/>
    <col min="13069" max="13069" width="7.6328125" style="188" customWidth="1"/>
    <col min="13070" max="13312" width="8.7265625" style="188"/>
    <col min="13313" max="13313" width="41" style="188" customWidth="1"/>
    <col min="13314" max="13314" width="16.81640625" style="188" customWidth="1"/>
    <col min="13315" max="13315" width="7" style="188" customWidth="1"/>
    <col min="13316" max="13317" width="14.6328125" style="188" customWidth="1"/>
    <col min="13318" max="13318" width="7.6328125" style="188" customWidth="1"/>
    <col min="13319" max="13322" width="14.6328125" style="188" customWidth="1"/>
    <col min="13323" max="13324" width="8.7265625" style="188"/>
    <col min="13325" max="13325" width="7.6328125" style="188" customWidth="1"/>
    <col min="13326" max="13568" width="8.7265625" style="188"/>
    <col min="13569" max="13569" width="41" style="188" customWidth="1"/>
    <col min="13570" max="13570" width="16.81640625" style="188" customWidth="1"/>
    <col min="13571" max="13571" width="7" style="188" customWidth="1"/>
    <col min="13572" max="13573" width="14.6328125" style="188" customWidth="1"/>
    <col min="13574" max="13574" width="7.6328125" style="188" customWidth="1"/>
    <col min="13575" max="13578" width="14.6328125" style="188" customWidth="1"/>
    <col min="13579" max="13580" width="8.7265625" style="188"/>
    <col min="13581" max="13581" width="7.6328125" style="188" customWidth="1"/>
    <col min="13582" max="13824" width="8.7265625" style="188"/>
    <col min="13825" max="13825" width="41" style="188" customWidth="1"/>
    <col min="13826" max="13826" width="16.81640625" style="188" customWidth="1"/>
    <col min="13827" max="13827" width="7" style="188" customWidth="1"/>
    <col min="13828" max="13829" width="14.6328125" style="188" customWidth="1"/>
    <col min="13830" max="13830" width="7.6328125" style="188" customWidth="1"/>
    <col min="13831" max="13834" width="14.6328125" style="188" customWidth="1"/>
    <col min="13835" max="13836" width="8.7265625" style="188"/>
    <col min="13837" max="13837" width="7.6328125" style="188" customWidth="1"/>
    <col min="13838" max="14080" width="8.7265625" style="188"/>
    <col min="14081" max="14081" width="41" style="188" customWidth="1"/>
    <col min="14082" max="14082" width="16.81640625" style="188" customWidth="1"/>
    <col min="14083" max="14083" width="7" style="188" customWidth="1"/>
    <col min="14084" max="14085" width="14.6328125" style="188" customWidth="1"/>
    <col min="14086" max="14086" width="7.6328125" style="188" customWidth="1"/>
    <col min="14087" max="14090" width="14.6328125" style="188" customWidth="1"/>
    <col min="14091" max="14092" width="8.7265625" style="188"/>
    <col min="14093" max="14093" width="7.6328125" style="188" customWidth="1"/>
    <col min="14094" max="14336" width="8.7265625" style="188"/>
    <col min="14337" max="14337" width="41" style="188" customWidth="1"/>
    <col min="14338" max="14338" width="16.81640625" style="188" customWidth="1"/>
    <col min="14339" max="14339" width="7" style="188" customWidth="1"/>
    <col min="14340" max="14341" width="14.6328125" style="188" customWidth="1"/>
    <col min="14342" max="14342" width="7.6328125" style="188" customWidth="1"/>
    <col min="14343" max="14346" width="14.6328125" style="188" customWidth="1"/>
    <col min="14347" max="14348" width="8.7265625" style="188"/>
    <col min="14349" max="14349" width="7.6328125" style="188" customWidth="1"/>
    <col min="14350" max="14592" width="8.7265625" style="188"/>
    <col min="14593" max="14593" width="41" style="188" customWidth="1"/>
    <col min="14594" max="14594" width="16.81640625" style="188" customWidth="1"/>
    <col min="14595" max="14595" width="7" style="188" customWidth="1"/>
    <col min="14596" max="14597" width="14.6328125" style="188" customWidth="1"/>
    <col min="14598" max="14598" width="7.6328125" style="188" customWidth="1"/>
    <col min="14599" max="14602" width="14.6328125" style="188" customWidth="1"/>
    <col min="14603" max="14604" width="8.7265625" style="188"/>
    <col min="14605" max="14605" width="7.6328125" style="188" customWidth="1"/>
    <col min="14606" max="14848" width="8.7265625" style="188"/>
    <col min="14849" max="14849" width="41" style="188" customWidth="1"/>
    <col min="14850" max="14850" width="16.81640625" style="188" customWidth="1"/>
    <col min="14851" max="14851" width="7" style="188" customWidth="1"/>
    <col min="14852" max="14853" width="14.6328125" style="188" customWidth="1"/>
    <col min="14854" max="14854" width="7.6328125" style="188" customWidth="1"/>
    <col min="14855" max="14858" width="14.6328125" style="188" customWidth="1"/>
    <col min="14859" max="14860" width="8.7265625" style="188"/>
    <col min="14861" max="14861" width="7.6328125" style="188" customWidth="1"/>
    <col min="14862" max="15104" width="8.7265625" style="188"/>
    <col min="15105" max="15105" width="41" style="188" customWidth="1"/>
    <col min="15106" max="15106" width="16.81640625" style="188" customWidth="1"/>
    <col min="15107" max="15107" width="7" style="188" customWidth="1"/>
    <col min="15108" max="15109" width="14.6328125" style="188" customWidth="1"/>
    <col min="15110" max="15110" width="7.6328125" style="188" customWidth="1"/>
    <col min="15111" max="15114" width="14.6328125" style="188" customWidth="1"/>
    <col min="15115" max="15116" width="8.7265625" style="188"/>
    <col min="15117" max="15117" width="7.6328125" style="188" customWidth="1"/>
    <col min="15118" max="15360" width="8.7265625" style="188"/>
    <col min="15361" max="15361" width="41" style="188" customWidth="1"/>
    <col min="15362" max="15362" width="16.81640625" style="188" customWidth="1"/>
    <col min="15363" max="15363" width="7" style="188" customWidth="1"/>
    <col min="15364" max="15365" width="14.6328125" style="188" customWidth="1"/>
    <col min="15366" max="15366" width="7.6328125" style="188" customWidth="1"/>
    <col min="15367" max="15370" width="14.6328125" style="188" customWidth="1"/>
    <col min="15371" max="15372" width="8.7265625" style="188"/>
    <col min="15373" max="15373" width="7.6328125" style="188" customWidth="1"/>
    <col min="15374" max="15616" width="8.7265625" style="188"/>
    <col min="15617" max="15617" width="41" style="188" customWidth="1"/>
    <col min="15618" max="15618" width="16.81640625" style="188" customWidth="1"/>
    <col min="15619" max="15619" width="7" style="188" customWidth="1"/>
    <col min="15620" max="15621" width="14.6328125" style="188" customWidth="1"/>
    <col min="15622" max="15622" width="7.6328125" style="188" customWidth="1"/>
    <col min="15623" max="15626" width="14.6328125" style="188" customWidth="1"/>
    <col min="15627" max="15628" width="8.7265625" style="188"/>
    <col min="15629" max="15629" width="7.6328125" style="188" customWidth="1"/>
    <col min="15630" max="15872" width="8.7265625" style="188"/>
    <col min="15873" max="15873" width="41" style="188" customWidth="1"/>
    <col min="15874" max="15874" width="16.81640625" style="188" customWidth="1"/>
    <col min="15875" max="15875" width="7" style="188" customWidth="1"/>
    <col min="15876" max="15877" width="14.6328125" style="188" customWidth="1"/>
    <col min="15878" max="15878" width="7.6328125" style="188" customWidth="1"/>
    <col min="15879" max="15882" width="14.6328125" style="188" customWidth="1"/>
    <col min="15883" max="15884" width="8.7265625" style="188"/>
    <col min="15885" max="15885" width="7.6328125" style="188" customWidth="1"/>
    <col min="15886" max="16128" width="8.7265625" style="188"/>
    <col min="16129" max="16129" width="41" style="188" customWidth="1"/>
    <col min="16130" max="16130" width="16.81640625" style="188" customWidth="1"/>
    <col min="16131" max="16131" width="7" style="188" customWidth="1"/>
    <col min="16132" max="16133" width="14.6328125" style="188" customWidth="1"/>
    <col min="16134" max="16134" width="7.6328125" style="188" customWidth="1"/>
    <col min="16135" max="16138" width="14.6328125" style="188" customWidth="1"/>
    <col min="16139" max="16140" width="8.7265625" style="188"/>
    <col min="16141" max="16141" width="7.6328125" style="188" customWidth="1"/>
    <col min="16142" max="16384" width="8.7265625" style="188"/>
  </cols>
  <sheetData>
    <row r="1" spans="1:13" ht="40" customHeight="1" x14ac:dyDescent="0.25">
      <c r="A1" s="483"/>
      <c r="B1" s="483"/>
      <c r="C1" s="483"/>
      <c r="D1" s="483"/>
      <c r="E1" s="483"/>
    </row>
    <row r="2" spans="1:13" ht="8" customHeight="1" thickBot="1" x14ac:dyDescent="0.3">
      <c r="A2" s="484"/>
      <c r="B2" s="484"/>
      <c r="C2" s="484"/>
      <c r="D2" s="484"/>
      <c r="E2" s="484"/>
    </row>
    <row r="3" spans="1:13" ht="23.5" thickBot="1" x14ac:dyDescent="0.55000000000000004">
      <c r="A3" s="485" t="s">
        <v>211</v>
      </c>
      <c r="B3" s="486"/>
      <c r="C3" s="486"/>
      <c r="D3" s="486"/>
      <c r="E3" s="487"/>
      <c r="G3" s="488" t="s">
        <v>212</v>
      </c>
      <c r="H3" s="489"/>
      <c r="I3" s="489"/>
      <c r="J3" s="489"/>
      <c r="K3" s="489"/>
      <c r="L3" s="490"/>
    </row>
    <row r="4" spans="1:13" ht="15" x14ac:dyDescent="0.3">
      <c r="A4" s="216"/>
      <c r="B4" s="216"/>
      <c r="C4" s="216"/>
      <c r="D4" s="216"/>
      <c r="E4" s="216"/>
      <c r="G4" s="491" t="s">
        <v>213</v>
      </c>
      <c r="H4" s="492"/>
      <c r="I4" s="492"/>
      <c r="J4" s="492"/>
      <c r="K4" s="492"/>
      <c r="L4" s="493"/>
    </row>
    <row r="5" spans="1:13" s="219" customFormat="1" ht="13" x14ac:dyDescent="0.3">
      <c r="A5" s="494" t="s">
        <v>174</v>
      </c>
      <c r="B5" s="494"/>
      <c r="C5" s="217"/>
      <c r="D5" s="217"/>
      <c r="E5" s="218" t="s">
        <v>214</v>
      </c>
      <c r="G5" s="495" t="s">
        <v>215</v>
      </c>
      <c r="H5" s="495"/>
      <c r="I5" s="495"/>
      <c r="J5" s="495"/>
      <c r="K5" s="495"/>
      <c r="L5" s="495"/>
      <c r="M5" s="495"/>
    </row>
    <row r="6" spans="1:13" s="219" customFormat="1" ht="13" x14ac:dyDescent="0.3">
      <c r="B6" s="220"/>
      <c r="C6" s="221" t="s">
        <v>216</v>
      </c>
      <c r="D6" s="221" t="s">
        <v>217</v>
      </c>
      <c r="E6" s="211" t="s">
        <v>218</v>
      </c>
      <c r="G6" s="222"/>
      <c r="H6" s="222"/>
      <c r="I6" s="222"/>
      <c r="J6" s="222"/>
      <c r="K6" s="222"/>
      <c r="L6" s="222"/>
    </row>
    <row r="7" spans="1:13" s="225" customFormat="1" ht="15" x14ac:dyDescent="0.3">
      <c r="A7" s="196"/>
      <c r="B7" s="223" t="s">
        <v>219</v>
      </c>
      <c r="C7" s="224"/>
      <c r="D7" s="480" t="s">
        <v>220</v>
      </c>
      <c r="E7" s="481"/>
      <c r="G7" s="476" t="s">
        <v>221</v>
      </c>
      <c r="H7" s="482"/>
      <c r="I7" s="482"/>
      <c r="J7" s="477"/>
      <c r="K7" s="202"/>
      <c r="L7" s="202"/>
    </row>
    <row r="8" spans="1:13" s="225" customFormat="1" ht="15" x14ac:dyDescent="0.3">
      <c r="A8" s="204" t="s">
        <v>222</v>
      </c>
      <c r="B8" s="210">
        <v>0</v>
      </c>
      <c r="C8" s="226"/>
      <c r="D8" s="467"/>
      <c r="E8" s="469"/>
      <c r="G8" s="227" t="s">
        <v>223</v>
      </c>
      <c r="H8" s="227" t="s">
        <v>224</v>
      </c>
      <c r="I8" s="227" t="s">
        <v>225</v>
      </c>
      <c r="J8" s="227" t="s">
        <v>226</v>
      </c>
      <c r="K8" s="202"/>
      <c r="L8" s="202"/>
    </row>
    <row r="9" spans="1:13" s="225" customFormat="1" ht="13" x14ac:dyDescent="0.3">
      <c r="A9" s="204" t="s">
        <v>227</v>
      </c>
      <c r="B9" s="210">
        <v>0</v>
      </c>
      <c r="C9" s="226" t="s">
        <v>4</v>
      </c>
      <c r="D9" s="467"/>
      <c r="E9" s="469"/>
      <c r="G9" s="228">
        <v>1</v>
      </c>
      <c r="H9" s="228">
        <f>1.16*10^-3</f>
        <v>1.16E-3</v>
      </c>
      <c r="I9" s="228">
        <v>3.28</v>
      </c>
      <c r="J9" s="229">
        <f>2.45*10^1</f>
        <v>24.5</v>
      </c>
      <c r="K9" s="202"/>
      <c r="L9" s="202"/>
    </row>
    <row r="10" spans="1:13" s="225" customFormat="1" ht="13" x14ac:dyDescent="0.3">
      <c r="A10" s="204" t="s">
        <v>228</v>
      </c>
      <c r="B10" s="210">
        <v>10</v>
      </c>
      <c r="C10" s="230" t="s">
        <v>229</v>
      </c>
      <c r="D10" s="467"/>
      <c r="E10" s="469"/>
      <c r="G10" s="228">
        <f>8.64*10^2</f>
        <v>864</v>
      </c>
      <c r="H10" s="228">
        <v>1</v>
      </c>
      <c r="I10" s="228">
        <f>2.83*10^3</f>
        <v>2830</v>
      </c>
      <c r="J10" s="229">
        <f>2.12*10^4</f>
        <v>21200</v>
      </c>
      <c r="K10" s="202"/>
      <c r="L10" s="202"/>
    </row>
    <row r="11" spans="1:13" s="225" customFormat="1" ht="13" x14ac:dyDescent="0.3">
      <c r="A11" s="204" t="s">
        <v>230</v>
      </c>
      <c r="B11" s="231" t="s">
        <v>216</v>
      </c>
      <c r="C11" s="230"/>
      <c r="D11" s="467"/>
      <c r="E11" s="469"/>
      <c r="G11" s="228">
        <f>3.05*10^-1</f>
        <v>0.30499999999999999</v>
      </c>
      <c r="H11" s="228">
        <f>3.53*10^-4</f>
        <v>3.5300000000000002E-4</v>
      </c>
      <c r="I11" s="228">
        <v>1</v>
      </c>
      <c r="J11" s="229">
        <v>7.48</v>
      </c>
      <c r="K11" s="202"/>
      <c r="L11" s="202"/>
    </row>
    <row r="12" spans="1:13" s="225" customFormat="1" ht="13" x14ac:dyDescent="0.3">
      <c r="A12" s="204" t="s">
        <v>231</v>
      </c>
      <c r="B12" s="210">
        <v>6</v>
      </c>
      <c r="C12" s="230" t="s">
        <v>35</v>
      </c>
      <c r="D12" s="467"/>
      <c r="E12" s="469"/>
      <c r="G12" s="232">
        <f>4.1*10^-2</f>
        <v>4.0999999999999995E-2</v>
      </c>
      <c r="H12" s="232">
        <f>4.73*10^-5</f>
        <v>4.7300000000000011E-5</v>
      </c>
      <c r="I12" s="232">
        <f>1.34*10^-1</f>
        <v>0.13400000000000001</v>
      </c>
      <c r="J12" s="233">
        <v>1</v>
      </c>
      <c r="K12" s="202"/>
      <c r="L12" s="202"/>
    </row>
    <row r="13" spans="1:13" s="225" customFormat="1" ht="13.5" customHeight="1" x14ac:dyDescent="0.3">
      <c r="A13" s="204" t="s">
        <v>232</v>
      </c>
      <c r="B13" s="234">
        <v>0</v>
      </c>
      <c r="C13" s="230" t="s">
        <v>28</v>
      </c>
      <c r="D13" s="467"/>
      <c r="E13" s="469"/>
      <c r="G13" s="478" t="s">
        <v>233</v>
      </c>
      <c r="H13" s="478"/>
      <c r="I13" s="478"/>
      <c r="J13" s="478"/>
      <c r="K13" s="235"/>
      <c r="L13" s="235"/>
      <c r="M13" s="235"/>
    </row>
    <row r="14" spans="1:13" s="225" customFormat="1" ht="15" x14ac:dyDescent="0.3">
      <c r="A14" s="204" t="s">
        <v>234</v>
      </c>
      <c r="B14" s="236" t="s">
        <v>235</v>
      </c>
      <c r="C14" s="230" t="s">
        <v>11</v>
      </c>
      <c r="D14" s="467"/>
      <c r="E14" s="469"/>
      <c r="G14" s="479"/>
      <c r="H14" s="479"/>
      <c r="I14" s="479"/>
      <c r="J14" s="479"/>
      <c r="K14" s="235"/>
      <c r="L14" s="235"/>
      <c r="M14" s="235"/>
    </row>
    <row r="15" spans="1:13" s="225" customFormat="1" ht="15" x14ac:dyDescent="0.3">
      <c r="A15" s="204" t="s">
        <v>236</v>
      </c>
      <c r="B15" s="236" t="s">
        <v>281</v>
      </c>
      <c r="C15" s="230" t="s">
        <v>11</v>
      </c>
      <c r="D15" s="467"/>
      <c r="E15" s="469"/>
      <c r="K15" s="202"/>
      <c r="L15" s="202"/>
    </row>
    <row r="16" spans="1:13" s="225" customFormat="1" ht="15" x14ac:dyDescent="0.3">
      <c r="A16" s="204" t="s">
        <v>238</v>
      </c>
      <c r="B16" s="215">
        <v>0</v>
      </c>
      <c r="C16" s="230" t="s">
        <v>11</v>
      </c>
      <c r="D16" s="467"/>
      <c r="E16" s="469"/>
      <c r="F16" s="237"/>
    </row>
    <row r="17" spans="1:8" s="225" customFormat="1" ht="13" x14ac:dyDescent="0.3">
      <c r="A17" s="204" t="s">
        <v>239</v>
      </c>
      <c r="B17" s="210">
        <v>0</v>
      </c>
      <c r="C17" s="230" t="s">
        <v>35</v>
      </c>
      <c r="D17" s="467"/>
      <c r="E17" s="468"/>
      <c r="F17" s="237"/>
      <c r="G17" s="238"/>
      <c r="H17" s="238"/>
    </row>
    <row r="18" spans="1:8" s="225" customFormat="1" ht="13" x14ac:dyDescent="0.3">
      <c r="A18" s="204" t="s">
        <v>240</v>
      </c>
      <c r="B18" s="210">
        <v>0</v>
      </c>
      <c r="C18" s="230" t="s">
        <v>35</v>
      </c>
      <c r="D18" s="467"/>
      <c r="E18" s="469"/>
      <c r="F18" s="237"/>
      <c r="G18" s="238"/>
      <c r="H18" s="238"/>
    </row>
    <row r="19" spans="1:8" s="225" customFormat="1" ht="13" x14ac:dyDescent="0.3">
      <c r="A19" s="205" t="s">
        <v>241</v>
      </c>
      <c r="B19" s="239">
        <v>0</v>
      </c>
      <c r="C19" s="240"/>
      <c r="D19" s="470"/>
      <c r="E19" s="471"/>
      <c r="F19" s="237"/>
      <c r="G19" s="238"/>
      <c r="H19" s="238"/>
    </row>
    <row r="20" spans="1:8" s="225" customFormat="1" ht="13" x14ac:dyDescent="0.3">
      <c r="A20" s="241"/>
      <c r="B20" s="242" t="e">
        <f>IF(B11="Mounded Pad",((B18/12)-B25),(((B12/12)+(B18/12))-B25))</f>
        <v>#DIV/0!</v>
      </c>
      <c r="C20" s="243"/>
      <c r="D20" s="244">
        <f>(LOOKUP(B14,A37:A48,C37:C48))</f>
        <v>8.4792960000000015</v>
      </c>
      <c r="E20" s="241">
        <f>(LOOKUP(B15,A37:A48,C37:C48))</f>
        <v>1.0599120000000002</v>
      </c>
      <c r="F20" s="237"/>
      <c r="G20" s="238"/>
      <c r="H20" s="238"/>
    </row>
    <row r="21" spans="1:8" s="225" customFormat="1" ht="13" x14ac:dyDescent="0.3">
      <c r="A21" s="196"/>
      <c r="B21" s="245" t="s">
        <v>242</v>
      </c>
      <c r="C21" s="246"/>
      <c r="D21" s="247"/>
      <c r="E21" s="248"/>
      <c r="F21" s="237"/>
      <c r="G21" s="238"/>
      <c r="H21" s="238"/>
    </row>
    <row r="22" spans="1:8" s="225" customFormat="1" ht="15" x14ac:dyDescent="0.3">
      <c r="A22" s="204" t="s">
        <v>243</v>
      </c>
      <c r="B22" s="212">
        <f>B8*B9</f>
        <v>0</v>
      </c>
      <c r="C22" s="249" t="s">
        <v>244</v>
      </c>
      <c r="D22" s="250">
        <f>B22/J11</f>
        <v>0</v>
      </c>
      <c r="E22" s="251" t="s">
        <v>245</v>
      </c>
      <c r="G22" s="238"/>
      <c r="H22" s="238"/>
    </row>
    <row r="23" spans="1:8" s="225" customFormat="1" ht="13" x14ac:dyDescent="0.3">
      <c r="A23" s="204" t="s">
        <v>236</v>
      </c>
      <c r="B23" s="252">
        <f>E20*I12</f>
        <v>0.14202820800000004</v>
      </c>
      <c r="C23" s="249" t="s">
        <v>225</v>
      </c>
      <c r="D23" s="252"/>
      <c r="E23" s="251"/>
      <c r="G23" s="238"/>
      <c r="H23" s="238"/>
    </row>
    <row r="24" spans="1:8" s="225" customFormat="1" ht="13" x14ac:dyDescent="0.3">
      <c r="A24" s="204" t="s">
        <v>246</v>
      </c>
      <c r="B24" s="252">
        <f>SQRT(D22/(PI()*B23))</f>
        <v>0</v>
      </c>
      <c r="C24" s="249" t="s">
        <v>28</v>
      </c>
      <c r="D24" s="212"/>
      <c r="E24" s="253"/>
      <c r="G24" s="238"/>
      <c r="H24" s="238"/>
    </row>
    <row r="25" spans="1:8" s="225" customFormat="1" ht="13" x14ac:dyDescent="0.3">
      <c r="A25" s="204" t="s">
        <v>247</v>
      </c>
      <c r="B25" s="254" t="e">
        <f>FLOOR(SQRT(((D22/B13)^2)/(2*((D20*I12)*B23))),0.1)</f>
        <v>#DIV/0!</v>
      </c>
      <c r="C25" s="249" t="s">
        <v>248</v>
      </c>
      <c r="D25" s="254" t="e">
        <f>B25*12</f>
        <v>#DIV/0!</v>
      </c>
      <c r="E25" s="253" t="s">
        <v>35</v>
      </c>
      <c r="G25" s="238"/>
      <c r="H25" s="238"/>
    </row>
    <row r="26" spans="1:8" s="225" customFormat="1" ht="13" x14ac:dyDescent="0.3">
      <c r="A26" s="204" t="s">
        <v>249</v>
      </c>
      <c r="B26" s="254" t="e">
        <f>(B17/12)+B25</f>
        <v>#DIV/0!</v>
      </c>
      <c r="C26" s="249" t="s">
        <v>28</v>
      </c>
      <c r="D26" s="254" t="e">
        <f>B26*12</f>
        <v>#DIV/0!</v>
      </c>
      <c r="E26" s="253" t="s">
        <v>35</v>
      </c>
      <c r="G26" s="238"/>
      <c r="H26" s="238"/>
    </row>
    <row r="27" spans="1:8" s="225" customFormat="1" ht="15" x14ac:dyDescent="0.3">
      <c r="A27" s="204" t="s">
        <v>250</v>
      </c>
      <c r="B27" s="212">
        <f>(PI()*(B24^2))</f>
        <v>0</v>
      </c>
      <c r="C27" s="249" t="s">
        <v>47</v>
      </c>
      <c r="D27" s="252"/>
      <c r="E27" s="251"/>
      <c r="G27" s="238"/>
      <c r="H27" s="238"/>
    </row>
    <row r="28" spans="1:8" s="225" customFormat="1" ht="15" x14ac:dyDescent="0.3">
      <c r="A28" s="204" t="s">
        <v>251</v>
      </c>
      <c r="B28" s="212" t="e">
        <f>B22/B16</f>
        <v>#DIV/0!</v>
      </c>
      <c r="C28" s="249" t="s">
        <v>47</v>
      </c>
      <c r="D28" s="255"/>
      <c r="E28" s="256"/>
      <c r="G28" s="238"/>
      <c r="H28" s="238"/>
    </row>
    <row r="29" spans="1:8" s="225" customFormat="1" ht="15" x14ac:dyDescent="0.3">
      <c r="A29" s="204" t="s">
        <v>252</v>
      </c>
      <c r="B29" s="212" t="e">
        <f>MAX(B27,B28)</f>
        <v>#DIV/0!</v>
      </c>
      <c r="C29" s="249" t="s">
        <v>47</v>
      </c>
      <c r="D29" s="257"/>
      <c r="E29" s="256"/>
      <c r="G29" s="238"/>
      <c r="H29" s="238"/>
    </row>
    <row r="30" spans="1:8" s="225" customFormat="1" ht="13" x14ac:dyDescent="0.3">
      <c r="A30" s="204" t="s">
        <v>253</v>
      </c>
      <c r="B30" s="250" t="e">
        <f>B29/B13</f>
        <v>#DIV/0!</v>
      </c>
      <c r="C30" s="249" t="s">
        <v>254</v>
      </c>
      <c r="D30" s="255">
        <f>B13</f>
        <v>0</v>
      </c>
      <c r="E30" s="258" t="s">
        <v>255</v>
      </c>
      <c r="G30" s="238"/>
      <c r="H30" s="238"/>
    </row>
    <row r="31" spans="1:8" s="225" customFormat="1" ht="13" x14ac:dyDescent="0.3">
      <c r="A31" s="204" t="s">
        <v>15</v>
      </c>
      <c r="B31" s="250" t="e">
        <f>B22/D30</f>
        <v>#DIV/0!</v>
      </c>
      <c r="C31" s="249" t="s">
        <v>256</v>
      </c>
      <c r="D31" s="255"/>
      <c r="E31" s="258"/>
      <c r="G31" s="238"/>
      <c r="H31" s="238"/>
    </row>
    <row r="32" spans="1:8" s="225" customFormat="1" ht="15.5" x14ac:dyDescent="0.35">
      <c r="A32" s="204" t="s">
        <v>257</v>
      </c>
      <c r="B32" s="250" t="e">
        <f>B31/B16</f>
        <v>#DIV/0!</v>
      </c>
      <c r="C32" s="249" t="s">
        <v>28</v>
      </c>
      <c r="D32" s="255"/>
      <c r="E32" s="258"/>
      <c r="G32" s="238"/>
      <c r="H32" s="238"/>
    </row>
    <row r="33" spans="1:10" s="225" customFormat="1" ht="15" x14ac:dyDescent="0.3">
      <c r="A33" s="205" t="s">
        <v>258</v>
      </c>
      <c r="B33" s="259" t="e">
        <f>(((B22*B10)*8.34)/1000000)/B29</f>
        <v>#DIV/0!</v>
      </c>
      <c r="C33" s="260" t="s">
        <v>259</v>
      </c>
      <c r="D33" s="472" t="e">
        <f>IF(B33&lt;=0.00099,"OK","REDUCE BOD")</f>
        <v>#DIV/0!</v>
      </c>
      <c r="E33" s="473"/>
    </row>
    <row r="34" spans="1:10" s="225" customFormat="1" ht="13" x14ac:dyDescent="0.3">
      <c r="A34" s="189"/>
      <c r="B34" s="189"/>
      <c r="C34" s="261">
        <f>24*0.024535</f>
        <v>0.58884000000000003</v>
      </c>
      <c r="D34" s="189"/>
      <c r="E34" s="189"/>
    </row>
    <row r="35" spans="1:10" s="225" customFormat="1" ht="13" x14ac:dyDescent="0.3">
      <c r="A35" s="474" t="s">
        <v>260</v>
      </c>
      <c r="B35" s="476" t="s">
        <v>261</v>
      </c>
      <c r="C35" s="477"/>
      <c r="D35" s="476" t="s">
        <v>262</v>
      </c>
      <c r="E35" s="477"/>
      <c r="G35" s="188"/>
      <c r="H35" s="188"/>
      <c r="I35" s="188"/>
      <c r="J35" s="188"/>
    </row>
    <row r="36" spans="1:10" s="225" customFormat="1" ht="15" x14ac:dyDescent="0.3">
      <c r="A36" s="475"/>
      <c r="B36" s="262" t="s">
        <v>263</v>
      </c>
      <c r="C36" s="262" t="s">
        <v>11</v>
      </c>
      <c r="D36" s="262" t="s">
        <v>264</v>
      </c>
      <c r="E36" s="262" t="s">
        <v>11</v>
      </c>
      <c r="G36" s="188"/>
      <c r="H36" s="188"/>
      <c r="I36" s="188"/>
      <c r="J36" s="188"/>
    </row>
    <row r="37" spans="1:10" s="225" customFormat="1" ht="13" x14ac:dyDescent="0.3">
      <c r="A37" s="263" t="s">
        <v>282</v>
      </c>
      <c r="B37" s="264">
        <v>2</v>
      </c>
      <c r="C37" s="264">
        <f>B37*C34</f>
        <v>1.1776800000000001</v>
      </c>
      <c r="D37" s="464" t="s">
        <v>266</v>
      </c>
      <c r="E37" s="464" t="s">
        <v>267</v>
      </c>
      <c r="G37" s="188"/>
      <c r="H37" s="188"/>
      <c r="I37" s="188"/>
      <c r="J37" s="188"/>
    </row>
    <row r="38" spans="1:10" s="225" customFormat="1" ht="13" x14ac:dyDescent="0.3">
      <c r="A38" s="265" t="s">
        <v>277</v>
      </c>
      <c r="B38" s="266">
        <v>4.2</v>
      </c>
      <c r="C38" s="266">
        <f>B38*C34</f>
        <v>2.4731280000000004</v>
      </c>
      <c r="D38" s="465"/>
      <c r="E38" s="465"/>
      <c r="G38" s="188"/>
      <c r="H38" s="188"/>
      <c r="I38" s="188"/>
      <c r="J38" s="188"/>
    </row>
    <row r="39" spans="1:10" s="225" customFormat="1" ht="13" x14ac:dyDescent="0.3">
      <c r="A39" s="267" t="s">
        <v>268</v>
      </c>
      <c r="B39" s="268">
        <v>141.30000000000001</v>
      </c>
      <c r="C39" s="268">
        <f>B39*C34</f>
        <v>83.203092000000012</v>
      </c>
      <c r="D39" s="466"/>
      <c r="E39" s="466"/>
      <c r="G39" s="188"/>
      <c r="H39" s="188"/>
      <c r="I39" s="188"/>
      <c r="J39" s="188"/>
    </row>
    <row r="40" spans="1:10" s="225" customFormat="1" ht="13" x14ac:dyDescent="0.3">
      <c r="A40" s="263" t="s">
        <v>273</v>
      </c>
      <c r="B40" s="264">
        <v>6.2</v>
      </c>
      <c r="C40" s="264">
        <f>B40*C34</f>
        <v>3.6508080000000005</v>
      </c>
      <c r="D40" s="464" t="s">
        <v>271</v>
      </c>
      <c r="E40" s="464" t="s">
        <v>272</v>
      </c>
      <c r="G40" s="188"/>
      <c r="H40" s="188"/>
      <c r="I40" s="188"/>
      <c r="J40" s="188"/>
    </row>
    <row r="41" spans="1:10" ht="13" x14ac:dyDescent="0.3">
      <c r="A41" s="265" t="s">
        <v>269</v>
      </c>
      <c r="B41" s="266">
        <v>123</v>
      </c>
      <c r="C41" s="266">
        <f>B41*C34</f>
        <v>72.427320000000009</v>
      </c>
      <c r="D41" s="465"/>
      <c r="E41" s="465"/>
    </row>
    <row r="42" spans="1:10" ht="13" x14ac:dyDescent="0.3">
      <c r="A42" s="265" t="s">
        <v>265</v>
      </c>
      <c r="B42" s="266">
        <v>181.9</v>
      </c>
      <c r="C42" s="266">
        <f>B42*C34</f>
        <v>107.10999600000001</v>
      </c>
      <c r="D42" s="466"/>
      <c r="E42" s="466"/>
    </row>
    <row r="43" spans="1:10" ht="13" x14ac:dyDescent="0.3">
      <c r="A43" s="263" t="s">
        <v>278</v>
      </c>
      <c r="B43" s="264">
        <v>0.9</v>
      </c>
      <c r="C43" s="264">
        <f>B43*C34</f>
        <v>0.52995600000000009</v>
      </c>
      <c r="D43" s="464" t="s">
        <v>275</v>
      </c>
      <c r="E43" s="464" t="s">
        <v>276</v>
      </c>
    </row>
    <row r="44" spans="1:10" ht="13" x14ac:dyDescent="0.3">
      <c r="A44" s="265" t="s">
        <v>274</v>
      </c>
      <c r="B44" s="266">
        <v>7.7</v>
      </c>
      <c r="C44" s="266">
        <f>B44*C34</f>
        <v>4.5340680000000004</v>
      </c>
      <c r="D44" s="465"/>
      <c r="E44" s="465"/>
    </row>
    <row r="45" spans="1:10" ht="13" x14ac:dyDescent="0.3">
      <c r="A45" s="267" t="s">
        <v>270</v>
      </c>
      <c r="B45" s="268">
        <v>55.8</v>
      </c>
      <c r="C45" s="268">
        <f>B45*C34</f>
        <v>32.857272000000002</v>
      </c>
      <c r="D45" s="466"/>
      <c r="E45" s="466"/>
    </row>
    <row r="46" spans="1:10" ht="13" x14ac:dyDescent="0.3">
      <c r="A46" s="263" t="s">
        <v>235</v>
      </c>
      <c r="B46" s="264">
        <v>14.4</v>
      </c>
      <c r="C46" s="264">
        <f>B46*C34</f>
        <v>8.4792960000000015</v>
      </c>
      <c r="D46" s="464" t="s">
        <v>279</v>
      </c>
      <c r="E46" s="464" t="s">
        <v>280</v>
      </c>
    </row>
    <row r="47" spans="1:10" ht="13" x14ac:dyDescent="0.3">
      <c r="A47" s="265" t="s">
        <v>281</v>
      </c>
      <c r="B47" s="266">
        <v>1.8</v>
      </c>
      <c r="C47" s="266">
        <f>B47*C34</f>
        <v>1.0599120000000002</v>
      </c>
      <c r="D47" s="465"/>
      <c r="E47" s="465"/>
    </row>
    <row r="48" spans="1:10" ht="13" x14ac:dyDescent="0.3">
      <c r="A48" s="267" t="s">
        <v>237</v>
      </c>
      <c r="B48" s="268">
        <v>4.9000000000000004</v>
      </c>
      <c r="C48" s="268">
        <f>B48*C34</f>
        <v>2.8853160000000004</v>
      </c>
      <c r="D48" s="466"/>
      <c r="E48" s="466"/>
    </row>
    <row r="49" spans="1:10" s="270" customFormat="1" ht="15.5" x14ac:dyDescent="0.35">
      <c r="A49" s="269"/>
      <c r="B49" s="269"/>
      <c r="C49" s="269"/>
      <c r="D49" s="269"/>
      <c r="E49" s="269"/>
    </row>
    <row r="50" spans="1:10" s="270" customFormat="1" ht="15.5" x14ac:dyDescent="0.35">
      <c r="A50" s="188"/>
      <c r="B50" s="188"/>
      <c r="C50" s="188"/>
      <c r="D50" s="188"/>
      <c r="E50" s="188"/>
      <c r="G50" s="271"/>
      <c r="H50" s="271"/>
      <c r="I50" s="271"/>
      <c r="J50" s="271"/>
    </row>
    <row r="51" spans="1:10" s="270" customFormat="1" ht="15.5" x14ac:dyDescent="0.35">
      <c r="A51" s="188"/>
      <c r="B51" s="188"/>
      <c r="C51" s="188"/>
      <c r="D51" s="188"/>
      <c r="E51" s="188"/>
    </row>
    <row r="52" spans="1:10" s="270" customFormat="1" ht="15.5" x14ac:dyDescent="0.35">
      <c r="A52" s="188"/>
      <c r="B52" s="188"/>
      <c r="C52" s="188"/>
      <c r="D52" s="188"/>
      <c r="E52" s="188"/>
    </row>
    <row r="53" spans="1:10" s="270" customFormat="1" ht="15.5" x14ac:dyDescent="0.35">
      <c r="A53" s="188"/>
      <c r="B53" s="188"/>
      <c r="C53" s="188"/>
      <c r="D53" s="188"/>
      <c r="E53" s="188"/>
      <c r="G53" s="271"/>
      <c r="H53" s="271"/>
      <c r="I53" s="271"/>
      <c r="J53" s="271"/>
    </row>
    <row r="54" spans="1:10" s="270" customFormat="1" ht="15.5" x14ac:dyDescent="0.35">
      <c r="A54" s="188"/>
      <c r="B54" s="188"/>
      <c r="C54" s="188"/>
      <c r="D54" s="188"/>
      <c r="E54" s="188"/>
      <c r="G54" s="188"/>
      <c r="H54" s="188"/>
      <c r="I54" s="188"/>
      <c r="J54" s="188"/>
    </row>
    <row r="55" spans="1:10" s="271" customFormat="1" x14ac:dyDescent="0.25">
      <c r="A55" s="188"/>
      <c r="B55" s="188"/>
      <c r="C55" s="188"/>
      <c r="D55" s="188"/>
      <c r="E55" s="188"/>
      <c r="G55" s="188"/>
      <c r="H55" s="188"/>
      <c r="I55" s="188"/>
      <c r="J55" s="188"/>
    </row>
  </sheetData>
  <sheetProtection algorithmName="SHA-512" hashValue="BbX+r/Vwvpe7+opjXTxSGbU/djhKmc+PEDfVOzdqrXjv95DCPZhWtsR81ycPvz2in0ER3JJ7OaRUnCRyTM/5Yg==" saltValue="c3gAfVqeqQGXycsztpCmpA==" spinCount="100000" sheet="1" objects="1" scenarios="1"/>
  <sortState xmlns:xlrd2="http://schemas.microsoft.com/office/spreadsheetml/2017/richdata2" ref="A37:B48">
    <sortCondition ref="A37:A48"/>
  </sortState>
  <mergeCells count="34">
    <mergeCell ref="A5:B5"/>
    <mergeCell ref="G5:M5"/>
    <mergeCell ref="A1:E1"/>
    <mergeCell ref="A2:E2"/>
    <mergeCell ref="A3:E3"/>
    <mergeCell ref="G3:L3"/>
    <mergeCell ref="G4:L4"/>
    <mergeCell ref="D16:E16"/>
    <mergeCell ref="D7:E7"/>
    <mergeCell ref="G7:J7"/>
    <mergeCell ref="D8:E8"/>
    <mergeCell ref="D9:E9"/>
    <mergeCell ref="D10:E10"/>
    <mergeCell ref="D11:E11"/>
    <mergeCell ref="D12:E12"/>
    <mergeCell ref="D13:E13"/>
    <mergeCell ref="G13:J14"/>
    <mergeCell ref="D14:E14"/>
    <mergeCell ref="D15:E15"/>
    <mergeCell ref="D17:E17"/>
    <mergeCell ref="D18:E18"/>
    <mergeCell ref="D19:E19"/>
    <mergeCell ref="D33:E33"/>
    <mergeCell ref="A35:A36"/>
    <mergeCell ref="B35:C35"/>
    <mergeCell ref="D35:E35"/>
    <mergeCell ref="D46:D48"/>
    <mergeCell ref="E46:E48"/>
    <mergeCell ref="D37:D39"/>
    <mergeCell ref="E37:E39"/>
    <mergeCell ref="D40:D42"/>
    <mergeCell ref="E40:E42"/>
    <mergeCell ref="D43:D45"/>
    <mergeCell ref="E43:E45"/>
  </mergeCells>
  <conditionalFormatting sqref="B25">
    <cfRule type="expression" priority="1" stopIfTrue="1">
      <formula>IF(B25&lt;=0.1,TRUE,FALSE)</formula>
    </cfRule>
    <cfRule type="expression" dxfId="2" priority="2" stopIfTrue="1">
      <formula>IF(B20&gt;=0,TRUE,FALSE)</formula>
    </cfRule>
    <cfRule type="expression" dxfId="1" priority="3" stopIfTrue="1">
      <formula>IF(B25&gt;B20,TRUE,FALSE)</formula>
    </cfRule>
  </conditionalFormatting>
  <conditionalFormatting sqref="D33:E33">
    <cfRule type="expression" dxfId="0" priority="4" stopIfTrue="1">
      <formula>IF(D33="REDUCE BOD",TRUE,FALSE)</formula>
    </cfRule>
  </conditionalFormatting>
  <dataValidations count="6">
    <dataValidation type="custom" showInputMessage="1" showErrorMessage="1" errorTitle="Soil Ksat" error="Soil Ksat k' must be less than k!" sqref="WVJ983053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xr:uid="{2FC875F9-5583-4E21-8A51-E6E33A8320DC}">
      <formula1>IF(B14&gt;B15,TRUE,FALSE)</formula1>
    </dataValidation>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439D154-C72B-40DA-9CB8-7A5A8156020B}">
      <formula1>$C$6:$E$6</formula1>
    </dataValidation>
    <dataValidation operator="greaterThan" allowBlank="1" showInputMessage="1" showErrorMessage="1" sqref="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61:B65562 IX65561:IX65562 ST65561:ST65562 ACP65561:ACP65562 AML65561:AML65562 AWH65561:AWH65562 BGD65561:BGD65562 BPZ65561:BPZ65562 BZV65561:BZV65562 CJR65561:CJR65562 CTN65561:CTN65562 DDJ65561:DDJ65562 DNF65561:DNF65562 DXB65561:DXB65562 EGX65561:EGX65562 EQT65561:EQT65562 FAP65561:FAP65562 FKL65561:FKL65562 FUH65561:FUH65562 GED65561:GED65562 GNZ65561:GNZ65562 GXV65561:GXV65562 HHR65561:HHR65562 HRN65561:HRN65562 IBJ65561:IBJ65562 ILF65561:ILF65562 IVB65561:IVB65562 JEX65561:JEX65562 JOT65561:JOT65562 JYP65561:JYP65562 KIL65561:KIL65562 KSH65561:KSH65562 LCD65561:LCD65562 LLZ65561:LLZ65562 LVV65561:LVV65562 MFR65561:MFR65562 MPN65561:MPN65562 MZJ65561:MZJ65562 NJF65561:NJF65562 NTB65561:NTB65562 OCX65561:OCX65562 OMT65561:OMT65562 OWP65561:OWP65562 PGL65561:PGL65562 PQH65561:PQH65562 QAD65561:QAD65562 QJZ65561:QJZ65562 QTV65561:QTV65562 RDR65561:RDR65562 RNN65561:RNN65562 RXJ65561:RXJ65562 SHF65561:SHF65562 SRB65561:SRB65562 TAX65561:TAX65562 TKT65561:TKT65562 TUP65561:TUP65562 UEL65561:UEL65562 UOH65561:UOH65562 UYD65561:UYD65562 VHZ65561:VHZ65562 VRV65561:VRV65562 WBR65561:WBR65562 WLN65561:WLN65562 WVJ65561:WVJ65562 B131097:B131098 IX131097:IX131098 ST131097:ST131098 ACP131097:ACP131098 AML131097:AML131098 AWH131097:AWH131098 BGD131097:BGD131098 BPZ131097:BPZ131098 BZV131097:BZV131098 CJR131097:CJR131098 CTN131097:CTN131098 DDJ131097:DDJ131098 DNF131097:DNF131098 DXB131097:DXB131098 EGX131097:EGX131098 EQT131097:EQT131098 FAP131097:FAP131098 FKL131097:FKL131098 FUH131097:FUH131098 GED131097:GED131098 GNZ131097:GNZ131098 GXV131097:GXV131098 HHR131097:HHR131098 HRN131097:HRN131098 IBJ131097:IBJ131098 ILF131097:ILF131098 IVB131097:IVB131098 JEX131097:JEX131098 JOT131097:JOT131098 JYP131097:JYP131098 KIL131097:KIL131098 KSH131097:KSH131098 LCD131097:LCD131098 LLZ131097:LLZ131098 LVV131097:LVV131098 MFR131097:MFR131098 MPN131097:MPN131098 MZJ131097:MZJ131098 NJF131097:NJF131098 NTB131097:NTB131098 OCX131097:OCX131098 OMT131097:OMT131098 OWP131097:OWP131098 PGL131097:PGL131098 PQH131097:PQH131098 QAD131097:QAD131098 QJZ131097:QJZ131098 QTV131097:QTV131098 RDR131097:RDR131098 RNN131097:RNN131098 RXJ131097:RXJ131098 SHF131097:SHF131098 SRB131097:SRB131098 TAX131097:TAX131098 TKT131097:TKT131098 TUP131097:TUP131098 UEL131097:UEL131098 UOH131097:UOH131098 UYD131097:UYD131098 VHZ131097:VHZ131098 VRV131097:VRV131098 WBR131097:WBR131098 WLN131097:WLN131098 WVJ131097:WVJ131098 B196633:B196634 IX196633:IX196634 ST196633:ST196634 ACP196633:ACP196634 AML196633:AML196634 AWH196633:AWH196634 BGD196633:BGD196634 BPZ196633:BPZ196634 BZV196633:BZV196634 CJR196633:CJR196634 CTN196633:CTN196634 DDJ196633:DDJ196634 DNF196633:DNF196634 DXB196633:DXB196634 EGX196633:EGX196634 EQT196633:EQT196634 FAP196633:FAP196634 FKL196633:FKL196634 FUH196633:FUH196634 GED196633:GED196634 GNZ196633:GNZ196634 GXV196633:GXV196634 HHR196633:HHR196634 HRN196633:HRN196634 IBJ196633:IBJ196634 ILF196633:ILF196634 IVB196633:IVB196634 JEX196633:JEX196634 JOT196633:JOT196634 JYP196633:JYP196634 KIL196633:KIL196634 KSH196633:KSH196634 LCD196633:LCD196634 LLZ196633:LLZ196634 LVV196633:LVV196634 MFR196633:MFR196634 MPN196633:MPN196634 MZJ196633:MZJ196634 NJF196633:NJF196634 NTB196633:NTB196634 OCX196633:OCX196634 OMT196633:OMT196634 OWP196633:OWP196634 PGL196633:PGL196634 PQH196633:PQH196634 QAD196633:QAD196634 QJZ196633:QJZ196634 QTV196633:QTV196634 RDR196633:RDR196634 RNN196633:RNN196634 RXJ196633:RXJ196634 SHF196633:SHF196634 SRB196633:SRB196634 TAX196633:TAX196634 TKT196633:TKT196634 TUP196633:TUP196634 UEL196633:UEL196634 UOH196633:UOH196634 UYD196633:UYD196634 VHZ196633:VHZ196634 VRV196633:VRV196634 WBR196633:WBR196634 WLN196633:WLN196634 WVJ196633:WVJ196634 B262169:B262170 IX262169:IX262170 ST262169:ST262170 ACP262169:ACP262170 AML262169:AML262170 AWH262169:AWH262170 BGD262169:BGD262170 BPZ262169:BPZ262170 BZV262169:BZV262170 CJR262169:CJR262170 CTN262169:CTN262170 DDJ262169:DDJ262170 DNF262169:DNF262170 DXB262169:DXB262170 EGX262169:EGX262170 EQT262169:EQT262170 FAP262169:FAP262170 FKL262169:FKL262170 FUH262169:FUH262170 GED262169:GED262170 GNZ262169:GNZ262170 GXV262169:GXV262170 HHR262169:HHR262170 HRN262169:HRN262170 IBJ262169:IBJ262170 ILF262169:ILF262170 IVB262169:IVB262170 JEX262169:JEX262170 JOT262169:JOT262170 JYP262169:JYP262170 KIL262169:KIL262170 KSH262169:KSH262170 LCD262169:LCD262170 LLZ262169:LLZ262170 LVV262169:LVV262170 MFR262169:MFR262170 MPN262169:MPN262170 MZJ262169:MZJ262170 NJF262169:NJF262170 NTB262169:NTB262170 OCX262169:OCX262170 OMT262169:OMT262170 OWP262169:OWP262170 PGL262169:PGL262170 PQH262169:PQH262170 QAD262169:QAD262170 QJZ262169:QJZ262170 QTV262169:QTV262170 RDR262169:RDR262170 RNN262169:RNN262170 RXJ262169:RXJ262170 SHF262169:SHF262170 SRB262169:SRB262170 TAX262169:TAX262170 TKT262169:TKT262170 TUP262169:TUP262170 UEL262169:UEL262170 UOH262169:UOH262170 UYD262169:UYD262170 VHZ262169:VHZ262170 VRV262169:VRV262170 WBR262169:WBR262170 WLN262169:WLN262170 WVJ262169:WVJ262170 B327705:B327706 IX327705:IX327706 ST327705:ST327706 ACP327705:ACP327706 AML327705:AML327706 AWH327705:AWH327706 BGD327705:BGD327706 BPZ327705:BPZ327706 BZV327705:BZV327706 CJR327705:CJR327706 CTN327705:CTN327706 DDJ327705:DDJ327706 DNF327705:DNF327706 DXB327705:DXB327706 EGX327705:EGX327706 EQT327705:EQT327706 FAP327705:FAP327706 FKL327705:FKL327706 FUH327705:FUH327706 GED327705:GED327706 GNZ327705:GNZ327706 GXV327705:GXV327706 HHR327705:HHR327706 HRN327705:HRN327706 IBJ327705:IBJ327706 ILF327705:ILF327706 IVB327705:IVB327706 JEX327705:JEX327706 JOT327705:JOT327706 JYP327705:JYP327706 KIL327705:KIL327706 KSH327705:KSH327706 LCD327705:LCD327706 LLZ327705:LLZ327706 LVV327705:LVV327706 MFR327705:MFR327706 MPN327705:MPN327706 MZJ327705:MZJ327706 NJF327705:NJF327706 NTB327705:NTB327706 OCX327705:OCX327706 OMT327705:OMT327706 OWP327705:OWP327706 PGL327705:PGL327706 PQH327705:PQH327706 QAD327705:QAD327706 QJZ327705:QJZ327706 QTV327705:QTV327706 RDR327705:RDR327706 RNN327705:RNN327706 RXJ327705:RXJ327706 SHF327705:SHF327706 SRB327705:SRB327706 TAX327705:TAX327706 TKT327705:TKT327706 TUP327705:TUP327706 UEL327705:UEL327706 UOH327705:UOH327706 UYD327705:UYD327706 VHZ327705:VHZ327706 VRV327705:VRV327706 WBR327705:WBR327706 WLN327705:WLN327706 WVJ327705:WVJ327706 B393241:B393242 IX393241:IX393242 ST393241:ST393242 ACP393241:ACP393242 AML393241:AML393242 AWH393241:AWH393242 BGD393241:BGD393242 BPZ393241:BPZ393242 BZV393241:BZV393242 CJR393241:CJR393242 CTN393241:CTN393242 DDJ393241:DDJ393242 DNF393241:DNF393242 DXB393241:DXB393242 EGX393241:EGX393242 EQT393241:EQT393242 FAP393241:FAP393242 FKL393241:FKL393242 FUH393241:FUH393242 GED393241:GED393242 GNZ393241:GNZ393242 GXV393241:GXV393242 HHR393241:HHR393242 HRN393241:HRN393242 IBJ393241:IBJ393242 ILF393241:ILF393242 IVB393241:IVB393242 JEX393241:JEX393242 JOT393241:JOT393242 JYP393241:JYP393242 KIL393241:KIL393242 KSH393241:KSH393242 LCD393241:LCD393242 LLZ393241:LLZ393242 LVV393241:LVV393242 MFR393241:MFR393242 MPN393241:MPN393242 MZJ393241:MZJ393242 NJF393241:NJF393242 NTB393241:NTB393242 OCX393241:OCX393242 OMT393241:OMT393242 OWP393241:OWP393242 PGL393241:PGL393242 PQH393241:PQH393242 QAD393241:QAD393242 QJZ393241:QJZ393242 QTV393241:QTV393242 RDR393241:RDR393242 RNN393241:RNN393242 RXJ393241:RXJ393242 SHF393241:SHF393242 SRB393241:SRB393242 TAX393241:TAX393242 TKT393241:TKT393242 TUP393241:TUP393242 UEL393241:UEL393242 UOH393241:UOH393242 UYD393241:UYD393242 VHZ393241:VHZ393242 VRV393241:VRV393242 WBR393241:WBR393242 WLN393241:WLN393242 WVJ393241:WVJ393242 B458777:B458778 IX458777:IX458778 ST458777:ST458778 ACP458777:ACP458778 AML458777:AML458778 AWH458777:AWH458778 BGD458777:BGD458778 BPZ458777:BPZ458778 BZV458777:BZV458778 CJR458777:CJR458778 CTN458777:CTN458778 DDJ458777:DDJ458778 DNF458777:DNF458778 DXB458777:DXB458778 EGX458777:EGX458778 EQT458777:EQT458778 FAP458777:FAP458778 FKL458777:FKL458778 FUH458777:FUH458778 GED458777:GED458778 GNZ458777:GNZ458778 GXV458777:GXV458778 HHR458777:HHR458778 HRN458777:HRN458778 IBJ458777:IBJ458778 ILF458777:ILF458778 IVB458777:IVB458778 JEX458777:JEX458778 JOT458777:JOT458778 JYP458777:JYP458778 KIL458777:KIL458778 KSH458777:KSH458778 LCD458777:LCD458778 LLZ458777:LLZ458778 LVV458777:LVV458778 MFR458777:MFR458778 MPN458777:MPN458778 MZJ458777:MZJ458778 NJF458777:NJF458778 NTB458777:NTB458778 OCX458777:OCX458778 OMT458777:OMT458778 OWP458777:OWP458778 PGL458777:PGL458778 PQH458777:PQH458778 QAD458777:QAD458778 QJZ458777:QJZ458778 QTV458777:QTV458778 RDR458777:RDR458778 RNN458777:RNN458778 RXJ458777:RXJ458778 SHF458777:SHF458778 SRB458777:SRB458778 TAX458777:TAX458778 TKT458777:TKT458778 TUP458777:TUP458778 UEL458777:UEL458778 UOH458777:UOH458778 UYD458777:UYD458778 VHZ458777:VHZ458778 VRV458777:VRV458778 WBR458777:WBR458778 WLN458777:WLN458778 WVJ458777:WVJ458778 B524313:B524314 IX524313:IX524314 ST524313:ST524314 ACP524313:ACP524314 AML524313:AML524314 AWH524313:AWH524314 BGD524313:BGD524314 BPZ524313:BPZ524314 BZV524313:BZV524314 CJR524313:CJR524314 CTN524313:CTN524314 DDJ524313:DDJ524314 DNF524313:DNF524314 DXB524313:DXB524314 EGX524313:EGX524314 EQT524313:EQT524314 FAP524313:FAP524314 FKL524313:FKL524314 FUH524313:FUH524314 GED524313:GED524314 GNZ524313:GNZ524314 GXV524313:GXV524314 HHR524313:HHR524314 HRN524313:HRN524314 IBJ524313:IBJ524314 ILF524313:ILF524314 IVB524313:IVB524314 JEX524313:JEX524314 JOT524313:JOT524314 JYP524313:JYP524314 KIL524313:KIL524314 KSH524313:KSH524314 LCD524313:LCD524314 LLZ524313:LLZ524314 LVV524313:LVV524314 MFR524313:MFR524314 MPN524313:MPN524314 MZJ524313:MZJ524314 NJF524313:NJF524314 NTB524313:NTB524314 OCX524313:OCX524314 OMT524313:OMT524314 OWP524313:OWP524314 PGL524313:PGL524314 PQH524313:PQH524314 QAD524313:QAD524314 QJZ524313:QJZ524314 QTV524313:QTV524314 RDR524313:RDR524314 RNN524313:RNN524314 RXJ524313:RXJ524314 SHF524313:SHF524314 SRB524313:SRB524314 TAX524313:TAX524314 TKT524313:TKT524314 TUP524313:TUP524314 UEL524313:UEL524314 UOH524313:UOH524314 UYD524313:UYD524314 VHZ524313:VHZ524314 VRV524313:VRV524314 WBR524313:WBR524314 WLN524313:WLN524314 WVJ524313:WVJ524314 B589849:B589850 IX589849:IX589850 ST589849:ST589850 ACP589849:ACP589850 AML589849:AML589850 AWH589849:AWH589850 BGD589849:BGD589850 BPZ589849:BPZ589850 BZV589849:BZV589850 CJR589849:CJR589850 CTN589849:CTN589850 DDJ589849:DDJ589850 DNF589849:DNF589850 DXB589849:DXB589850 EGX589849:EGX589850 EQT589849:EQT589850 FAP589849:FAP589850 FKL589849:FKL589850 FUH589849:FUH589850 GED589849:GED589850 GNZ589849:GNZ589850 GXV589849:GXV589850 HHR589849:HHR589850 HRN589849:HRN589850 IBJ589849:IBJ589850 ILF589849:ILF589850 IVB589849:IVB589850 JEX589849:JEX589850 JOT589849:JOT589850 JYP589849:JYP589850 KIL589849:KIL589850 KSH589849:KSH589850 LCD589849:LCD589850 LLZ589849:LLZ589850 LVV589849:LVV589850 MFR589849:MFR589850 MPN589849:MPN589850 MZJ589849:MZJ589850 NJF589849:NJF589850 NTB589849:NTB589850 OCX589849:OCX589850 OMT589849:OMT589850 OWP589849:OWP589850 PGL589849:PGL589850 PQH589849:PQH589850 QAD589849:QAD589850 QJZ589849:QJZ589850 QTV589849:QTV589850 RDR589849:RDR589850 RNN589849:RNN589850 RXJ589849:RXJ589850 SHF589849:SHF589850 SRB589849:SRB589850 TAX589849:TAX589850 TKT589849:TKT589850 TUP589849:TUP589850 UEL589849:UEL589850 UOH589849:UOH589850 UYD589849:UYD589850 VHZ589849:VHZ589850 VRV589849:VRV589850 WBR589849:WBR589850 WLN589849:WLN589850 WVJ589849:WVJ589850 B655385:B655386 IX655385:IX655386 ST655385:ST655386 ACP655385:ACP655386 AML655385:AML655386 AWH655385:AWH655386 BGD655385:BGD655386 BPZ655385:BPZ655386 BZV655385:BZV655386 CJR655385:CJR655386 CTN655385:CTN655386 DDJ655385:DDJ655386 DNF655385:DNF655386 DXB655385:DXB655386 EGX655385:EGX655386 EQT655385:EQT655386 FAP655385:FAP655386 FKL655385:FKL655386 FUH655385:FUH655386 GED655385:GED655386 GNZ655385:GNZ655386 GXV655385:GXV655386 HHR655385:HHR655386 HRN655385:HRN655386 IBJ655385:IBJ655386 ILF655385:ILF655386 IVB655385:IVB655386 JEX655385:JEX655386 JOT655385:JOT655386 JYP655385:JYP655386 KIL655385:KIL655386 KSH655385:KSH655386 LCD655385:LCD655386 LLZ655385:LLZ655386 LVV655385:LVV655386 MFR655385:MFR655386 MPN655385:MPN655386 MZJ655385:MZJ655386 NJF655385:NJF655386 NTB655385:NTB655386 OCX655385:OCX655386 OMT655385:OMT655386 OWP655385:OWP655386 PGL655385:PGL655386 PQH655385:PQH655386 QAD655385:QAD655386 QJZ655385:QJZ655386 QTV655385:QTV655386 RDR655385:RDR655386 RNN655385:RNN655386 RXJ655385:RXJ655386 SHF655385:SHF655386 SRB655385:SRB655386 TAX655385:TAX655386 TKT655385:TKT655386 TUP655385:TUP655386 UEL655385:UEL655386 UOH655385:UOH655386 UYD655385:UYD655386 VHZ655385:VHZ655386 VRV655385:VRV655386 WBR655385:WBR655386 WLN655385:WLN655386 WVJ655385:WVJ655386 B720921:B720922 IX720921:IX720922 ST720921:ST720922 ACP720921:ACP720922 AML720921:AML720922 AWH720921:AWH720922 BGD720921:BGD720922 BPZ720921:BPZ720922 BZV720921:BZV720922 CJR720921:CJR720922 CTN720921:CTN720922 DDJ720921:DDJ720922 DNF720921:DNF720922 DXB720921:DXB720922 EGX720921:EGX720922 EQT720921:EQT720922 FAP720921:FAP720922 FKL720921:FKL720922 FUH720921:FUH720922 GED720921:GED720922 GNZ720921:GNZ720922 GXV720921:GXV720922 HHR720921:HHR720922 HRN720921:HRN720922 IBJ720921:IBJ720922 ILF720921:ILF720922 IVB720921:IVB720922 JEX720921:JEX720922 JOT720921:JOT720922 JYP720921:JYP720922 KIL720921:KIL720922 KSH720921:KSH720922 LCD720921:LCD720922 LLZ720921:LLZ720922 LVV720921:LVV720922 MFR720921:MFR720922 MPN720921:MPN720922 MZJ720921:MZJ720922 NJF720921:NJF720922 NTB720921:NTB720922 OCX720921:OCX720922 OMT720921:OMT720922 OWP720921:OWP720922 PGL720921:PGL720922 PQH720921:PQH720922 QAD720921:QAD720922 QJZ720921:QJZ720922 QTV720921:QTV720922 RDR720921:RDR720922 RNN720921:RNN720922 RXJ720921:RXJ720922 SHF720921:SHF720922 SRB720921:SRB720922 TAX720921:TAX720922 TKT720921:TKT720922 TUP720921:TUP720922 UEL720921:UEL720922 UOH720921:UOH720922 UYD720921:UYD720922 VHZ720921:VHZ720922 VRV720921:VRV720922 WBR720921:WBR720922 WLN720921:WLN720922 WVJ720921:WVJ720922 B786457:B786458 IX786457:IX786458 ST786457:ST786458 ACP786457:ACP786458 AML786457:AML786458 AWH786457:AWH786458 BGD786457:BGD786458 BPZ786457:BPZ786458 BZV786457:BZV786458 CJR786457:CJR786458 CTN786457:CTN786458 DDJ786457:DDJ786458 DNF786457:DNF786458 DXB786457:DXB786458 EGX786457:EGX786458 EQT786457:EQT786458 FAP786457:FAP786458 FKL786457:FKL786458 FUH786457:FUH786458 GED786457:GED786458 GNZ786457:GNZ786458 GXV786457:GXV786458 HHR786457:HHR786458 HRN786457:HRN786458 IBJ786457:IBJ786458 ILF786457:ILF786458 IVB786457:IVB786458 JEX786457:JEX786458 JOT786457:JOT786458 JYP786457:JYP786458 KIL786457:KIL786458 KSH786457:KSH786458 LCD786457:LCD786458 LLZ786457:LLZ786458 LVV786457:LVV786458 MFR786457:MFR786458 MPN786457:MPN786458 MZJ786457:MZJ786458 NJF786457:NJF786458 NTB786457:NTB786458 OCX786457:OCX786458 OMT786457:OMT786458 OWP786457:OWP786458 PGL786457:PGL786458 PQH786457:PQH786458 QAD786457:QAD786458 QJZ786457:QJZ786458 QTV786457:QTV786458 RDR786457:RDR786458 RNN786457:RNN786458 RXJ786457:RXJ786458 SHF786457:SHF786458 SRB786457:SRB786458 TAX786457:TAX786458 TKT786457:TKT786458 TUP786457:TUP786458 UEL786457:UEL786458 UOH786457:UOH786458 UYD786457:UYD786458 VHZ786457:VHZ786458 VRV786457:VRV786458 WBR786457:WBR786458 WLN786457:WLN786458 WVJ786457:WVJ786458 B851993:B851994 IX851993:IX851994 ST851993:ST851994 ACP851993:ACP851994 AML851993:AML851994 AWH851993:AWH851994 BGD851993:BGD851994 BPZ851993:BPZ851994 BZV851993:BZV851994 CJR851993:CJR851994 CTN851993:CTN851994 DDJ851993:DDJ851994 DNF851993:DNF851994 DXB851993:DXB851994 EGX851993:EGX851994 EQT851993:EQT851994 FAP851993:FAP851994 FKL851993:FKL851994 FUH851993:FUH851994 GED851993:GED851994 GNZ851993:GNZ851994 GXV851993:GXV851994 HHR851993:HHR851994 HRN851993:HRN851994 IBJ851993:IBJ851994 ILF851993:ILF851994 IVB851993:IVB851994 JEX851993:JEX851994 JOT851993:JOT851994 JYP851993:JYP851994 KIL851993:KIL851994 KSH851993:KSH851994 LCD851993:LCD851994 LLZ851993:LLZ851994 LVV851993:LVV851994 MFR851993:MFR851994 MPN851993:MPN851994 MZJ851993:MZJ851994 NJF851993:NJF851994 NTB851993:NTB851994 OCX851993:OCX851994 OMT851993:OMT851994 OWP851993:OWP851994 PGL851993:PGL851994 PQH851993:PQH851994 QAD851993:QAD851994 QJZ851993:QJZ851994 QTV851993:QTV851994 RDR851993:RDR851994 RNN851993:RNN851994 RXJ851993:RXJ851994 SHF851993:SHF851994 SRB851993:SRB851994 TAX851993:TAX851994 TKT851993:TKT851994 TUP851993:TUP851994 UEL851993:UEL851994 UOH851993:UOH851994 UYD851993:UYD851994 VHZ851993:VHZ851994 VRV851993:VRV851994 WBR851993:WBR851994 WLN851993:WLN851994 WVJ851993:WVJ851994 B917529:B917530 IX917529:IX917530 ST917529:ST917530 ACP917529:ACP917530 AML917529:AML917530 AWH917529:AWH917530 BGD917529:BGD917530 BPZ917529:BPZ917530 BZV917529:BZV917530 CJR917529:CJR917530 CTN917529:CTN917530 DDJ917529:DDJ917530 DNF917529:DNF917530 DXB917529:DXB917530 EGX917529:EGX917530 EQT917529:EQT917530 FAP917529:FAP917530 FKL917529:FKL917530 FUH917529:FUH917530 GED917529:GED917530 GNZ917529:GNZ917530 GXV917529:GXV917530 HHR917529:HHR917530 HRN917529:HRN917530 IBJ917529:IBJ917530 ILF917529:ILF917530 IVB917529:IVB917530 JEX917529:JEX917530 JOT917529:JOT917530 JYP917529:JYP917530 KIL917529:KIL917530 KSH917529:KSH917530 LCD917529:LCD917530 LLZ917529:LLZ917530 LVV917529:LVV917530 MFR917529:MFR917530 MPN917529:MPN917530 MZJ917529:MZJ917530 NJF917529:NJF917530 NTB917529:NTB917530 OCX917529:OCX917530 OMT917529:OMT917530 OWP917529:OWP917530 PGL917529:PGL917530 PQH917529:PQH917530 QAD917529:QAD917530 QJZ917529:QJZ917530 QTV917529:QTV917530 RDR917529:RDR917530 RNN917529:RNN917530 RXJ917529:RXJ917530 SHF917529:SHF917530 SRB917529:SRB917530 TAX917529:TAX917530 TKT917529:TKT917530 TUP917529:TUP917530 UEL917529:UEL917530 UOH917529:UOH917530 UYD917529:UYD917530 VHZ917529:VHZ917530 VRV917529:VRV917530 WBR917529:WBR917530 WLN917529:WLN917530 WVJ917529:WVJ917530 B983065:B983066 IX983065:IX983066 ST983065:ST983066 ACP983065:ACP983066 AML983065:AML983066 AWH983065:AWH983066 BGD983065:BGD983066 BPZ983065:BPZ983066 BZV983065:BZV983066 CJR983065:CJR983066 CTN983065:CTN983066 DDJ983065:DDJ983066 DNF983065:DNF983066 DXB983065:DXB983066 EGX983065:EGX983066 EQT983065:EQT983066 FAP983065:FAP983066 FKL983065:FKL983066 FUH983065:FUH983066 GED983065:GED983066 GNZ983065:GNZ983066 GXV983065:GXV983066 HHR983065:HHR983066 HRN983065:HRN983066 IBJ983065:IBJ983066 ILF983065:ILF983066 IVB983065:IVB983066 JEX983065:JEX983066 JOT983065:JOT983066 JYP983065:JYP983066 KIL983065:KIL983066 KSH983065:KSH983066 LCD983065:LCD983066 LLZ983065:LLZ983066 LVV983065:LVV983066 MFR983065:MFR983066 MPN983065:MPN983066 MZJ983065:MZJ983066 NJF983065:NJF983066 NTB983065:NTB983066 OCX983065:OCX983066 OMT983065:OMT983066 OWP983065:OWP983066 PGL983065:PGL983066 PQH983065:PQH983066 QAD983065:QAD983066 QJZ983065:QJZ983066 QTV983065:QTV983066 RDR983065:RDR983066 RNN983065:RNN983066 RXJ983065:RXJ983066 SHF983065:SHF983066 SRB983065:SRB983066 TAX983065:TAX983066 TKT983065:TKT983066 TUP983065:TUP983066 UEL983065:UEL983066 UOH983065:UOH983066 UYD983065:UYD983066 VHZ983065:VHZ983066 VRV983065:VRV983066 WBR983065:WBR983066 WLN983065:WLN983066 WVJ983065:WVJ983066" xr:uid="{D647D051-AECF-4820-BB68-D6B959DA8F10}"/>
    <dataValidation showInputMessage="1" showErrorMessage="1" sqref="B8:B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xr:uid="{995D5C57-15DB-44B9-B646-8BD523ABB001}"/>
    <dataValidation type="list" allowBlank="1" showInputMessage="1" showErrorMessage="1" sqref="B14" xr:uid="{A51800CE-731C-4B87-85B7-B9D355F0A5C3}">
      <formula1>$A$37:$A$48</formula1>
    </dataValidation>
    <dataValidation type="list" showInputMessage="1" showErrorMessage="1" errorTitle="Soil Ksat" error="Soil Ksat k' must be less than k!" sqref="B15" xr:uid="{5195E7EF-3CB2-4FDA-B77D-C87175FE2CCA}">
      <formula1>$A$37:$A$48</formula1>
    </dataValidation>
  </dataValidations>
  <pageMargins left="0.75" right="0.5" top="0.5" bottom="0.5" header="0" footer="0"/>
  <pageSetup orientation="portrait" horizontalDpi="4294967293" vertic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CD354-F50A-4F2F-97FE-164AD7A54B00}">
  <dimension ref="A1:M50"/>
  <sheetViews>
    <sheetView zoomScaleNormal="100" workbookViewId="0">
      <selection sqref="A1:G1"/>
    </sheetView>
  </sheetViews>
  <sheetFormatPr defaultColWidth="9.08984375" defaultRowHeight="14.5" x14ac:dyDescent="0.35"/>
  <cols>
    <col min="1" max="1" width="9.08984375" style="272"/>
    <col min="2" max="2" width="31" style="272" bestFit="1" customWidth="1"/>
    <col min="3" max="3" width="13.26953125" style="272" bestFit="1" customWidth="1"/>
    <col min="4" max="7" width="9.08984375" style="272"/>
    <col min="8" max="8" width="4.6328125" style="272" customWidth="1"/>
    <col min="9" max="9" width="12.90625" style="272" bestFit="1" customWidth="1"/>
    <col min="10" max="13" width="10.6328125" style="272" customWidth="1"/>
    <col min="14" max="257" width="9.08984375" style="272"/>
    <col min="258" max="258" width="31" style="272" bestFit="1" customWidth="1"/>
    <col min="259" max="259" width="13.26953125" style="272" bestFit="1" customWidth="1"/>
    <col min="260" max="263" width="9.08984375" style="272"/>
    <col min="264" max="264" width="4.6328125" style="272" customWidth="1"/>
    <col min="265" max="265" width="12.90625" style="272" bestFit="1" customWidth="1"/>
    <col min="266" max="269" width="10.6328125" style="272" customWidth="1"/>
    <col min="270" max="513" width="9.08984375" style="272"/>
    <col min="514" max="514" width="31" style="272" bestFit="1" customWidth="1"/>
    <col min="515" max="515" width="13.26953125" style="272" bestFit="1" customWidth="1"/>
    <col min="516" max="519" width="9.08984375" style="272"/>
    <col min="520" max="520" width="4.6328125" style="272" customWidth="1"/>
    <col min="521" max="521" width="12.90625" style="272" bestFit="1" customWidth="1"/>
    <col min="522" max="525" width="10.6328125" style="272" customWidth="1"/>
    <col min="526" max="769" width="9.08984375" style="272"/>
    <col min="770" max="770" width="31" style="272" bestFit="1" customWidth="1"/>
    <col min="771" max="771" width="13.26953125" style="272" bestFit="1" customWidth="1"/>
    <col min="772" max="775" width="9.08984375" style="272"/>
    <col min="776" max="776" width="4.6328125" style="272" customWidth="1"/>
    <col min="777" max="777" width="12.90625" style="272" bestFit="1" customWidth="1"/>
    <col min="778" max="781" width="10.6328125" style="272" customWidth="1"/>
    <col min="782" max="1025" width="9.08984375" style="272"/>
    <col min="1026" max="1026" width="31" style="272" bestFit="1" customWidth="1"/>
    <col min="1027" max="1027" width="13.26953125" style="272" bestFit="1" customWidth="1"/>
    <col min="1028" max="1031" width="9.08984375" style="272"/>
    <col min="1032" max="1032" width="4.6328125" style="272" customWidth="1"/>
    <col min="1033" max="1033" width="12.90625" style="272" bestFit="1" customWidth="1"/>
    <col min="1034" max="1037" width="10.6328125" style="272" customWidth="1"/>
    <col min="1038" max="1281" width="9.08984375" style="272"/>
    <col min="1282" max="1282" width="31" style="272" bestFit="1" customWidth="1"/>
    <col min="1283" max="1283" width="13.26953125" style="272" bestFit="1" customWidth="1"/>
    <col min="1284" max="1287" width="9.08984375" style="272"/>
    <col min="1288" max="1288" width="4.6328125" style="272" customWidth="1"/>
    <col min="1289" max="1289" width="12.90625" style="272" bestFit="1" customWidth="1"/>
    <col min="1290" max="1293" width="10.6328125" style="272" customWidth="1"/>
    <col min="1294" max="1537" width="9.08984375" style="272"/>
    <col min="1538" max="1538" width="31" style="272" bestFit="1" customWidth="1"/>
    <col min="1539" max="1539" width="13.26953125" style="272" bestFit="1" customWidth="1"/>
    <col min="1540" max="1543" width="9.08984375" style="272"/>
    <col min="1544" max="1544" width="4.6328125" style="272" customWidth="1"/>
    <col min="1545" max="1545" width="12.90625" style="272" bestFit="1" customWidth="1"/>
    <col min="1546" max="1549" width="10.6328125" style="272" customWidth="1"/>
    <col min="1550" max="1793" width="9.08984375" style="272"/>
    <col min="1794" max="1794" width="31" style="272" bestFit="1" customWidth="1"/>
    <col min="1795" max="1795" width="13.26953125" style="272" bestFit="1" customWidth="1"/>
    <col min="1796" max="1799" width="9.08984375" style="272"/>
    <col min="1800" max="1800" width="4.6328125" style="272" customWidth="1"/>
    <col min="1801" max="1801" width="12.90625" style="272" bestFit="1" customWidth="1"/>
    <col min="1802" max="1805" width="10.6328125" style="272" customWidth="1"/>
    <col min="1806" max="2049" width="9.08984375" style="272"/>
    <col min="2050" max="2050" width="31" style="272" bestFit="1" customWidth="1"/>
    <col min="2051" max="2051" width="13.26953125" style="272" bestFit="1" customWidth="1"/>
    <col min="2052" max="2055" width="9.08984375" style="272"/>
    <col min="2056" max="2056" width="4.6328125" style="272" customWidth="1"/>
    <col min="2057" max="2057" width="12.90625" style="272" bestFit="1" customWidth="1"/>
    <col min="2058" max="2061" width="10.6328125" style="272" customWidth="1"/>
    <col min="2062" max="2305" width="9.08984375" style="272"/>
    <col min="2306" max="2306" width="31" style="272" bestFit="1" customWidth="1"/>
    <col min="2307" max="2307" width="13.26953125" style="272" bestFit="1" customWidth="1"/>
    <col min="2308" max="2311" width="9.08984375" style="272"/>
    <col min="2312" max="2312" width="4.6328125" style="272" customWidth="1"/>
    <col min="2313" max="2313" width="12.90625" style="272" bestFit="1" customWidth="1"/>
    <col min="2314" max="2317" width="10.6328125" style="272" customWidth="1"/>
    <col min="2318" max="2561" width="9.08984375" style="272"/>
    <col min="2562" max="2562" width="31" style="272" bestFit="1" customWidth="1"/>
    <col min="2563" max="2563" width="13.26953125" style="272" bestFit="1" customWidth="1"/>
    <col min="2564" max="2567" width="9.08984375" style="272"/>
    <col min="2568" max="2568" width="4.6328125" style="272" customWidth="1"/>
    <col min="2569" max="2569" width="12.90625" style="272" bestFit="1" customWidth="1"/>
    <col min="2570" max="2573" width="10.6328125" style="272" customWidth="1"/>
    <col min="2574" max="2817" width="9.08984375" style="272"/>
    <col min="2818" max="2818" width="31" style="272" bestFit="1" customWidth="1"/>
    <col min="2819" max="2819" width="13.26953125" style="272" bestFit="1" customWidth="1"/>
    <col min="2820" max="2823" width="9.08984375" style="272"/>
    <col min="2824" max="2824" width="4.6328125" style="272" customWidth="1"/>
    <col min="2825" max="2825" width="12.90625" style="272" bestFit="1" customWidth="1"/>
    <col min="2826" max="2829" width="10.6328125" style="272" customWidth="1"/>
    <col min="2830" max="3073" width="9.08984375" style="272"/>
    <col min="3074" max="3074" width="31" style="272" bestFit="1" customWidth="1"/>
    <col min="3075" max="3075" width="13.26953125" style="272" bestFit="1" customWidth="1"/>
    <col min="3076" max="3079" width="9.08984375" style="272"/>
    <col min="3080" max="3080" width="4.6328125" style="272" customWidth="1"/>
    <col min="3081" max="3081" width="12.90625" style="272" bestFit="1" customWidth="1"/>
    <col min="3082" max="3085" width="10.6328125" style="272" customWidth="1"/>
    <col min="3086" max="3329" width="9.08984375" style="272"/>
    <col min="3330" max="3330" width="31" style="272" bestFit="1" customWidth="1"/>
    <col min="3331" max="3331" width="13.26953125" style="272" bestFit="1" customWidth="1"/>
    <col min="3332" max="3335" width="9.08984375" style="272"/>
    <col min="3336" max="3336" width="4.6328125" style="272" customWidth="1"/>
    <col min="3337" max="3337" width="12.90625" style="272" bestFit="1" customWidth="1"/>
    <col min="3338" max="3341" width="10.6328125" style="272" customWidth="1"/>
    <col min="3342" max="3585" width="9.08984375" style="272"/>
    <col min="3586" max="3586" width="31" style="272" bestFit="1" customWidth="1"/>
    <col min="3587" max="3587" width="13.26953125" style="272" bestFit="1" customWidth="1"/>
    <col min="3588" max="3591" width="9.08984375" style="272"/>
    <col min="3592" max="3592" width="4.6328125" style="272" customWidth="1"/>
    <col min="3593" max="3593" width="12.90625" style="272" bestFit="1" customWidth="1"/>
    <col min="3594" max="3597" width="10.6328125" style="272" customWidth="1"/>
    <col min="3598" max="3841" width="9.08984375" style="272"/>
    <col min="3842" max="3842" width="31" style="272" bestFit="1" customWidth="1"/>
    <col min="3843" max="3843" width="13.26953125" style="272" bestFit="1" customWidth="1"/>
    <col min="3844" max="3847" width="9.08984375" style="272"/>
    <col min="3848" max="3848" width="4.6328125" style="272" customWidth="1"/>
    <col min="3849" max="3849" width="12.90625" style="272" bestFit="1" customWidth="1"/>
    <col min="3850" max="3853" width="10.6328125" style="272" customWidth="1"/>
    <col min="3854" max="4097" width="9.08984375" style="272"/>
    <col min="4098" max="4098" width="31" style="272" bestFit="1" customWidth="1"/>
    <col min="4099" max="4099" width="13.26953125" style="272" bestFit="1" customWidth="1"/>
    <col min="4100" max="4103" width="9.08984375" style="272"/>
    <col min="4104" max="4104" width="4.6328125" style="272" customWidth="1"/>
    <col min="4105" max="4105" width="12.90625" style="272" bestFit="1" customWidth="1"/>
    <col min="4106" max="4109" width="10.6328125" style="272" customWidth="1"/>
    <col min="4110" max="4353" width="9.08984375" style="272"/>
    <col min="4354" max="4354" width="31" style="272" bestFit="1" customWidth="1"/>
    <col min="4355" max="4355" width="13.26953125" style="272" bestFit="1" customWidth="1"/>
    <col min="4356" max="4359" width="9.08984375" style="272"/>
    <col min="4360" max="4360" width="4.6328125" style="272" customWidth="1"/>
    <col min="4361" max="4361" width="12.90625" style="272" bestFit="1" customWidth="1"/>
    <col min="4362" max="4365" width="10.6328125" style="272" customWidth="1"/>
    <col min="4366" max="4609" width="9.08984375" style="272"/>
    <col min="4610" max="4610" width="31" style="272" bestFit="1" customWidth="1"/>
    <col min="4611" max="4611" width="13.26953125" style="272" bestFit="1" customWidth="1"/>
    <col min="4612" max="4615" width="9.08984375" style="272"/>
    <col min="4616" max="4616" width="4.6328125" style="272" customWidth="1"/>
    <col min="4617" max="4617" width="12.90625" style="272" bestFit="1" customWidth="1"/>
    <col min="4618" max="4621" width="10.6328125" style="272" customWidth="1"/>
    <col min="4622" max="4865" width="9.08984375" style="272"/>
    <col min="4866" max="4866" width="31" style="272" bestFit="1" customWidth="1"/>
    <col min="4867" max="4867" width="13.26953125" style="272" bestFit="1" customWidth="1"/>
    <col min="4868" max="4871" width="9.08984375" style="272"/>
    <col min="4872" max="4872" width="4.6328125" style="272" customWidth="1"/>
    <col min="4873" max="4873" width="12.90625" style="272" bestFit="1" customWidth="1"/>
    <col min="4874" max="4877" width="10.6328125" style="272" customWidth="1"/>
    <col min="4878" max="5121" width="9.08984375" style="272"/>
    <col min="5122" max="5122" width="31" style="272" bestFit="1" customWidth="1"/>
    <col min="5123" max="5123" width="13.26953125" style="272" bestFit="1" customWidth="1"/>
    <col min="5124" max="5127" width="9.08984375" style="272"/>
    <col min="5128" max="5128" width="4.6328125" style="272" customWidth="1"/>
    <col min="5129" max="5129" width="12.90625" style="272" bestFit="1" customWidth="1"/>
    <col min="5130" max="5133" width="10.6328125" style="272" customWidth="1"/>
    <col min="5134" max="5377" width="9.08984375" style="272"/>
    <col min="5378" max="5378" width="31" style="272" bestFit="1" customWidth="1"/>
    <col min="5379" max="5379" width="13.26953125" style="272" bestFit="1" customWidth="1"/>
    <col min="5380" max="5383" width="9.08984375" style="272"/>
    <col min="5384" max="5384" width="4.6328125" style="272" customWidth="1"/>
    <col min="5385" max="5385" width="12.90625" style="272" bestFit="1" customWidth="1"/>
    <col min="5386" max="5389" width="10.6328125" style="272" customWidth="1"/>
    <col min="5390" max="5633" width="9.08984375" style="272"/>
    <col min="5634" max="5634" width="31" style="272" bestFit="1" customWidth="1"/>
    <col min="5635" max="5635" width="13.26953125" style="272" bestFit="1" customWidth="1"/>
    <col min="5636" max="5639" width="9.08984375" style="272"/>
    <col min="5640" max="5640" width="4.6328125" style="272" customWidth="1"/>
    <col min="5641" max="5641" width="12.90625" style="272" bestFit="1" customWidth="1"/>
    <col min="5642" max="5645" width="10.6328125" style="272" customWidth="1"/>
    <col min="5646" max="5889" width="9.08984375" style="272"/>
    <col min="5890" max="5890" width="31" style="272" bestFit="1" customWidth="1"/>
    <col min="5891" max="5891" width="13.26953125" style="272" bestFit="1" customWidth="1"/>
    <col min="5892" max="5895" width="9.08984375" style="272"/>
    <col min="5896" max="5896" width="4.6328125" style="272" customWidth="1"/>
    <col min="5897" max="5897" width="12.90625" style="272" bestFit="1" customWidth="1"/>
    <col min="5898" max="5901" width="10.6328125" style="272" customWidth="1"/>
    <col min="5902" max="6145" width="9.08984375" style="272"/>
    <col min="6146" max="6146" width="31" style="272" bestFit="1" customWidth="1"/>
    <col min="6147" max="6147" width="13.26953125" style="272" bestFit="1" customWidth="1"/>
    <col min="6148" max="6151" width="9.08984375" style="272"/>
    <col min="6152" max="6152" width="4.6328125" style="272" customWidth="1"/>
    <col min="6153" max="6153" width="12.90625" style="272" bestFit="1" customWidth="1"/>
    <col min="6154" max="6157" width="10.6328125" style="272" customWidth="1"/>
    <col min="6158" max="6401" width="9.08984375" style="272"/>
    <col min="6402" max="6402" width="31" style="272" bestFit="1" customWidth="1"/>
    <col min="6403" max="6403" width="13.26953125" style="272" bestFit="1" customWidth="1"/>
    <col min="6404" max="6407" width="9.08984375" style="272"/>
    <col min="6408" max="6408" width="4.6328125" style="272" customWidth="1"/>
    <col min="6409" max="6409" width="12.90625" style="272" bestFit="1" customWidth="1"/>
    <col min="6410" max="6413" width="10.6328125" style="272" customWidth="1"/>
    <col min="6414" max="6657" width="9.08984375" style="272"/>
    <col min="6658" max="6658" width="31" style="272" bestFit="1" customWidth="1"/>
    <col min="6659" max="6659" width="13.26953125" style="272" bestFit="1" customWidth="1"/>
    <col min="6660" max="6663" width="9.08984375" style="272"/>
    <col min="6664" max="6664" width="4.6328125" style="272" customWidth="1"/>
    <col min="6665" max="6665" width="12.90625" style="272" bestFit="1" customWidth="1"/>
    <col min="6666" max="6669" width="10.6328125" style="272" customWidth="1"/>
    <col min="6670" max="6913" width="9.08984375" style="272"/>
    <col min="6914" max="6914" width="31" style="272" bestFit="1" customWidth="1"/>
    <col min="6915" max="6915" width="13.26953125" style="272" bestFit="1" customWidth="1"/>
    <col min="6916" max="6919" width="9.08984375" style="272"/>
    <col min="6920" max="6920" width="4.6328125" style="272" customWidth="1"/>
    <col min="6921" max="6921" width="12.90625" style="272" bestFit="1" customWidth="1"/>
    <col min="6922" max="6925" width="10.6328125" style="272" customWidth="1"/>
    <col min="6926" max="7169" width="9.08984375" style="272"/>
    <col min="7170" max="7170" width="31" style="272" bestFit="1" customWidth="1"/>
    <col min="7171" max="7171" width="13.26953125" style="272" bestFit="1" customWidth="1"/>
    <col min="7172" max="7175" width="9.08984375" style="272"/>
    <col min="7176" max="7176" width="4.6328125" style="272" customWidth="1"/>
    <col min="7177" max="7177" width="12.90625" style="272" bestFit="1" customWidth="1"/>
    <col min="7178" max="7181" width="10.6328125" style="272" customWidth="1"/>
    <col min="7182" max="7425" width="9.08984375" style="272"/>
    <col min="7426" max="7426" width="31" style="272" bestFit="1" customWidth="1"/>
    <col min="7427" max="7427" width="13.26953125" style="272" bestFit="1" customWidth="1"/>
    <col min="7428" max="7431" width="9.08984375" style="272"/>
    <col min="7432" max="7432" width="4.6328125" style="272" customWidth="1"/>
    <col min="7433" max="7433" width="12.90625" style="272" bestFit="1" customWidth="1"/>
    <col min="7434" max="7437" width="10.6328125" style="272" customWidth="1"/>
    <col min="7438" max="7681" width="9.08984375" style="272"/>
    <col min="7682" max="7682" width="31" style="272" bestFit="1" customWidth="1"/>
    <col min="7683" max="7683" width="13.26953125" style="272" bestFit="1" customWidth="1"/>
    <col min="7684" max="7687" width="9.08984375" style="272"/>
    <col min="7688" max="7688" width="4.6328125" style="272" customWidth="1"/>
    <col min="7689" max="7689" width="12.90625" style="272" bestFit="1" customWidth="1"/>
    <col min="7690" max="7693" width="10.6328125" style="272" customWidth="1"/>
    <col min="7694" max="7937" width="9.08984375" style="272"/>
    <col min="7938" max="7938" width="31" style="272" bestFit="1" customWidth="1"/>
    <col min="7939" max="7939" width="13.26953125" style="272" bestFit="1" customWidth="1"/>
    <col min="7940" max="7943" width="9.08984375" style="272"/>
    <col min="7944" max="7944" width="4.6328125" style="272" customWidth="1"/>
    <col min="7945" max="7945" width="12.90625" style="272" bestFit="1" customWidth="1"/>
    <col min="7946" max="7949" width="10.6328125" style="272" customWidth="1"/>
    <col min="7950" max="8193" width="9.08984375" style="272"/>
    <col min="8194" max="8194" width="31" style="272" bestFit="1" customWidth="1"/>
    <col min="8195" max="8195" width="13.26953125" style="272" bestFit="1" customWidth="1"/>
    <col min="8196" max="8199" width="9.08984375" style="272"/>
    <col min="8200" max="8200" width="4.6328125" style="272" customWidth="1"/>
    <col min="8201" max="8201" width="12.90625" style="272" bestFit="1" customWidth="1"/>
    <col min="8202" max="8205" width="10.6328125" style="272" customWidth="1"/>
    <col min="8206" max="8449" width="9.08984375" style="272"/>
    <col min="8450" max="8450" width="31" style="272" bestFit="1" customWidth="1"/>
    <col min="8451" max="8451" width="13.26953125" style="272" bestFit="1" customWidth="1"/>
    <col min="8452" max="8455" width="9.08984375" style="272"/>
    <col min="8456" max="8456" width="4.6328125" style="272" customWidth="1"/>
    <col min="8457" max="8457" width="12.90625" style="272" bestFit="1" customWidth="1"/>
    <col min="8458" max="8461" width="10.6328125" style="272" customWidth="1"/>
    <col min="8462" max="8705" width="9.08984375" style="272"/>
    <col min="8706" max="8706" width="31" style="272" bestFit="1" customWidth="1"/>
    <col min="8707" max="8707" width="13.26953125" style="272" bestFit="1" customWidth="1"/>
    <col min="8708" max="8711" width="9.08984375" style="272"/>
    <col min="8712" max="8712" width="4.6328125" style="272" customWidth="1"/>
    <col min="8713" max="8713" width="12.90625" style="272" bestFit="1" customWidth="1"/>
    <col min="8714" max="8717" width="10.6328125" style="272" customWidth="1"/>
    <col min="8718" max="8961" width="9.08984375" style="272"/>
    <col min="8962" max="8962" width="31" style="272" bestFit="1" customWidth="1"/>
    <col min="8963" max="8963" width="13.26953125" style="272" bestFit="1" customWidth="1"/>
    <col min="8964" max="8967" width="9.08984375" style="272"/>
    <col min="8968" max="8968" width="4.6328125" style="272" customWidth="1"/>
    <col min="8969" max="8969" width="12.90625" style="272" bestFit="1" customWidth="1"/>
    <col min="8970" max="8973" width="10.6328125" style="272" customWidth="1"/>
    <col min="8974" max="9217" width="9.08984375" style="272"/>
    <col min="9218" max="9218" width="31" style="272" bestFit="1" customWidth="1"/>
    <col min="9219" max="9219" width="13.26953125" style="272" bestFit="1" customWidth="1"/>
    <col min="9220" max="9223" width="9.08984375" style="272"/>
    <col min="9224" max="9224" width="4.6328125" style="272" customWidth="1"/>
    <col min="9225" max="9225" width="12.90625" style="272" bestFit="1" customWidth="1"/>
    <col min="9226" max="9229" width="10.6328125" style="272" customWidth="1"/>
    <col min="9230" max="9473" width="9.08984375" style="272"/>
    <col min="9474" max="9474" width="31" style="272" bestFit="1" customWidth="1"/>
    <col min="9475" max="9475" width="13.26953125" style="272" bestFit="1" customWidth="1"/>
    <col min="9476" max="9479" width="9.08984375" style="272"/>
    <col min="9480" max="9480" width="4.6328125" style="272" customWidth="1"/>
    <col min="9481" max="9481" width="12.90625" style="272" bestFit="1" customWidth="1"/>
    <col min="9482" max="9485" width="10.6328125" style="272" customWidth="1"/>
    <col min="9486" max="9729" width="9.08984375" style="272"/>
    <col min="9730" max="9730" width="31" style="272" bestFit="1" customWidth="1"/>
    <col min="9731" max="9731" width="13.26953125" style="272" bestFit="1" customWidth="1"/>
    <col min="9732" max="9735" width="9.08984375" style="272"/>
    <col min="9736" max="9736" width="4.6328125" style="272" customWidth="1"/>
    <col min="9737" max="9737" width="12.90625" style="272" bestFit="1" customWidth="1"/>
    <col min="9738" max="9741" width="10.6328125" style="272" customWidth="1"/>
    <col min="9742" max="9985" width="9.08984375" style="272"/>
    <col min="9986" max="9986" width="31" style="272" bestFit="1" customWidth="1"/>
    <col min="9987" max="9987" width="13.26953125" style="272" bestFit="1" customWidth="1"/>
    <col min="9988" max="9991" width="9.08984375" style="272"/>
    <col min="9992" max="9992" width="4.6328125" style="272" customWidth="1"/>
    <col min="9993" max="9993" width="12.90625" style="272" bestFit="1" customWidth="1"/>
    <col min="9994" max="9997" width="10.6328125" style="272" customWidth="1"/>
    <col min="9998" max="10241" width="9.08984375" style="272"/>
    <col min="10242" max="10242" width="31" style="272" bestFit="1" customWidth="1"/>
    <col min="10243" max="10243" width="13.26953125" style="272" bestFit="1" customWidth="1"/>
    <col min="10244" max="10247" width="9.08984375" style="272"/>
    <col min="10248" max="10248" width="4.6328125" style="272" customWidth="1"/>
    <col min="10249" max="10249" width="12.90625" style="272" bestFit="1" customWidth="1"/>
    <col min="10250" max="10253" width="10.6328125" style="272" customWidth="1"/>
    <col min="10254" max="10497" width="9.08984375" style="272"/>
    <col min="10498" max="10498" width="31" style="272" bestFit="1" customWidth="1"/>
    <col min="10499" max="10499" width="13.26953125" style="272" bestFit="1" customWidth="1"/>
    <col min="10500" max="10503" width="9.08984375" style="272"/>
    <col min="10504" max="10504" width="4.6328125" style="272" customWidth="1"/>
    <col min="10505" max="10505" width="12.90625" style="272" bestFit="1" customWidth="1"/>
    <col min="10506" max="10509" width="10.6328125" style="272" customWidth="1"/>
    <col min="10510" max="10753" width="9.08984375" style="272"/>
    <col min="10754" max="10754" width="31" style="272" bestFit="1" customWidth="1"/>
    <col min="10755" max="10755" width="13.26953125" style="272" bestFit="1" customWidth="1"/>
    <col min="10756" max="10759" width="9.08984375" style="272"/>
    <col min="10760" max="10760" width="4.6328125" style="272" customWidth="1"/>
    <col min="10761" max="10761" width="12.90625" style="272" bestFit="1" customWidth="1"/>
    <col min="10762" max="10765" width="10.6328125" style="272" customWidth="1"/>
    <col min="10766" max="11009" width="9.08984375" style="272"/>
    <col min="11010" max="11010" width="31" style="272" bestFit="1" customWidth="1"/>
    <col min="11011" max="11011" width="13.26953125" style="272" bestFit="1" customWidth="1"/>
    <col min="11012" max="11015" width="9.08984375" style="272"/>
    <col min="11016" max="11016" width="4.6328125" style="272" customWidth="1"/>
    <col min="11017" max="11017" width="12.90625" style="272" bestFit="1" customWidth="1"/>
    <col min="11018" max="11021" width="10.6328125" style="272" customWidth="1"/>
    <col min="11022" max="11265" width="9.08984375" style="272"/>
    <col min="11266" max="11266" width="31" style="272" bestFit="1" customWidth="1"/>
    <col min="11267" max="11267" width="13.26953125" style="272" bestFit="1" customWidth="1"/>
    <col min="11268" max="11271" width="9.08984375" style="272"/>
    <col min="11272" max="11272" width="4.6328125" style="272" customWidth="1"/>
    <col min="11273" max="11273" width="12.90625" style="272" bestFit="1" customWidth="1"/>
    <col min="11274" max="11277" width="10.6328125" style="272" customWidth="1"/>
    <col min="11278" max="11521" width="9.08984375" style="272"/>
    <col min="11522" max="11522" width="31" style="272" bestFit="1" customWidth="1"/>
    <col min="11523" max="11523" width="13.26953125" style="272" bestFit="1" customWidth="1"/>
    <col min="11524" max="11527" width="9.08984375" style="272"/>
    <col min="11528" max="11528" width="4.6328125" style="272" customWidth="1"/>
    <col min="11529" max="11529" width="12.90625" style="272" bestFit="1" customWidth="1"/>
    <col min="11530" max="11533" width="10.6328125" style="272" customWidth="1"/>
    <col min="11534" max="11777" width="9.08984375" style="272"/>
    <col min="11778" max="11778" width="31" style="272" bestFit="1" customWidth="1"/>
    <col min="11779" max="11779" width="13.26953125" style="272" bestFit="1" customWidth="1"/>
    <col min="11780" max="11783" width="9.08984375" style="272"/>
    <col min="11784" max="11784" width="4.6328125" style="272" customWidth="1"/>
    <col min="11785" max="11785" width="12.90625" style="272" bestFit="1" customWidth="1"/>
    <col min="11786" max="11789" width="10.6328125" style="272" customWidth="1"/>
    <col min="11790" max="12033" width="9.08984375" style="272"/>
    <col min="12034" max="12034" width="31" style="272" bestFit="1" customWidth="1"/>
    <col min="12035" max="12035" width="13.26953125" style="272" bestFit="1" customWidth="1"/>
    <col min="12036" max="12039" width="9.08984375" style="272"/>
    <col min="12040" max="12040" width="4.6328125" style="272" customWidth="1"/>
    <col min="12041" max="12041" width="12.90625" style="272" bestFit="1" customWidth="1"/>
    <col min="12042" max="12045" width="10.6328125" style="272" customWidth="1"/>
    <col min="12046" max="12289" width="9.08984375" style="272"/>
    <col min="12290" max="12290" width="31" style="272" bestFit="1" customWidth="1"/>
    <col min="12291" max="12291" width="13.26953125" style="272" bestFit="1" customWidth="1"/>
    <col min="12292" max="12295" width="9.08984375" style="272"/>
    <col min="12296" max="12296" width="4.6328125" style="272" customWidth="1"/>
    <col min="12297" max="12297" width="12.90625" style="272" bestFit="1" customWidth="1"/>
    <col min="12298" max="12301" width="10.6328125" style="272" customWidth="1"/>
    <col min="12302" max="12545" width="9.08984375" style="272"/>
    <col min="12546" max="12546" width="31" style="272" bestFit="1" customWidth="1"/>
    <col min="12547" max="12547" width="13.26953125" style="272" bestFit="1" customWidth="1"/>
    <col min="12548" max="12551" width="9.08984375" style="272"/>
    <col min="12552" max="12552" width="4.6328125" style="272" customWidth="1"/>
    <col min="12553" max="12553" width="12.90625" style="272" bestFit="1" customWidth="1"/>
    <col min="12554" max="12557" width="10.6328125" style="272" customWidth="1"/>
    <col min="12558" max="12801" width="9.08984375" style="272"/>
    <col min="12802" max="12802" width="31" style="272" bestFit="1" customWidth="1"/>
    <col min="12803" max="12803" width="13.26953125" style="272" bestFit="1" customWidth="1"/>
    <col min="12804" max="12807" width="9.08984375" style="272"/>
    <col min="12808" max="12808" width="4.6328125" style="272" customWidth="1"/>
    <col min="12809" max="12809" width="12.90625" style="272" bestFit="1" customWidth="1"/>
    <col min="12810" max="12813" width="10.6328125" style="272" customWidth="1"/>
    <col min="12814" max="13057" width="9.08984375" style="272"/>
    <col min="13058" max="13058" width="31" style="272" bestFit="1" customWidth="1"/>
    <col min="13059" max="13059" width="13.26953125" style="272" bestFit="1" customWidth="1"/>
    <col min="13060" max="13063" width="9.08984375" style="272"/>
    <col min="13064" max="13064" width="4.6328125" style="272" customWidth="1"/>
    <col min="13065" max="13065" width="12.90625" style="272" bestFit="1" customWidth="1"/>
    <col min="13066" max="13069" width="10.6328125" style="272" customWidth="1"/>
    <col min="13070" max="13313" width="9.08984375" style="272"/>
    <col min="13314" max="13314" width="31" style="272" bestFit="1" customWidth="1"/>
    <col min="13315" max="13315" width="13.26953125" style="272" bestFit="1" customWidth="1"/>
    <col min="13316" max="13319" width="9.08984375" style="272"/>
    <col min="13320" max="13320" width="4.6328125" style="272" customWidth="1"/>
    <col min="13321" max="13321" width="12.90625" style="272" bestFit="1" customWidth="1"/>
    <col min="13322" max="13325" width="10.6328125" style="272" customWidth="1"/>
    <col min="13326" max="13569" width="9.08984375" style="272"/>
    <col min="13570" max="13570" width="31" style="272" bestFit="1" customWidth="1"/>
    <col min="13571" max="13571" width="13.26953125" style="272" bestFit="1" customWidth="1"/>
    <col min="13572" max="13575" width="9.08984375" style="272"/>
    <col min="13576" max="13576" width="4.6328125" style="272" customWidth="1"/>
    <col min="13577" max="13577" width="12.90625" style="272" bestFit="1" customWidth="1"/>
    <col min="13578" max="13581" width="10.6328125" style="272" customWidth="1"/>
    <col min="13582" max="13825" width="9.08984375" style="272"/>
    <col min="13826" max="13826" width="31" style="272" bestFit="1" customWidth="1"/>
    <col min="13827" max="13827" width="13.26953125" style="272" bestFit="1" customWidth="1"/>
    <col min="13828" max="13831" width="9.08984375" style="272"/>
    <col min="13832" max="13832" width="4.6328125" style="272" customWidth="1"/>
    <col min="13833" max="13833" width="12.90625" style="272" bestFit="1" customWidth="1"/>
    <col min="13834" max="13837" width="10.6328125" style="272" customWidth="1"/>
    <col min="13838" max="14081" width="9.08984375" style="272"/>
    <col min="14082" max="14082" width="31" style="272" bestFit="1" customWidth="1"/>
    <col min="14083" max="14083" width="13.26953125" style="272" bestFit="1" customWidth="1"/>
    <col min="14084" max="14087" width="9.08984375" style="272"/>
    <col min="14088" max="14088" width="4.6328125" style="272" customWidth="1"/>
    <col min="14089" max="14089" width="12.90625" style="272" bestFit="1" customWidth="1"/>
    <col min="14090" max="14093" width="10.6328125" style="272" customWidth="1"/>
    <col min="14094" max="14337" width="9.08984375" style="272"/>
    <col min="14338" max="14338" width="31" style="272" bestFit="1" customWidth="1"/>
    <col min="14339" max="14339" width="13.26953125" style="272" bestFit="1" customWidth="1"/>
    <col min="14340" max="14343" width="9.08984375" style="272"/>
    <col min="14344" max="14344" width="4.6328125" style="272" customWidth="1"/>
    <col min="14345" max="14345" width="12.90625" style="272" bestFit="1" customWidth="1"/>
    <col min="14346" max="14349" width="10.6328125" style="272" customWidth="1"/>
    <col min="14350" max="14593" width="9.08984375" style="272"/>
    <col min="14594" max="14594" width="31" style="272" bestFit="1" customWidth="1"/>
    <col min="14595" max="14595" width="13.26953125" style="272" bestFit="1" customWidth="1"/>
    <col min="14596" max="14599" width="9.08984375" style="272"/>
    <col min="14600" max="14600" width="4.6328125" style="272" customWidth="1"/>
    <col min="14601" max="14601" width="12.90625" style="272" bestFit="1" customWidth="1"/>
    <col min="14602" max="14605" width="10.6328125" style="272" customWidth="1"/>
    <col min="14606" max="14849" width="9.08984375" style="272"/>
    <col min="14850" max="14850" width="31" style="272" bestFit="1" customWidth="1"/>
    <col min="14851" max="14851" width="13.26953125" style="272" bestFit="1" customWidth="1"/>
    <col min="14852" max="14855" width="9.08984375" style="272"/>
    <col min="14856" max="14856" width="4.6328125" style="272" customWidth="1"/>
    <col min="14857" max="14857" width="12.90625" style="272" bestFit="1" customWidth="1"/>
    <col min="14858" max="14861" width="10.6328125" style="272" customWidth="1"/>
    <col min="14862" max="15105" width="9.08984375" style="272"/>
    <col min="15106" max="15106" width="31" style="272" bestFit="1" customWidth="1"/>
    <col min="15107" max="15107" width="13.26953125" style="272" bestFit="1" customWidth="1"/>
    <col min="15108" max="15111" width="9.08984375" style="272"/>
    <col min="15112" max="15112" width="4.6328125" style="272" customWidth="1"/>
    <col min="15113" max="15113" width="12.90625" style="272" bestFit="1" customWidth="1"/>
    <col min="15114" max="15117" width="10.6328125" style="272" customWidth="1"/>
    <col min="15118" max="15361" width="9.08984375" style="272"/>
    <col min="15362" max="15362" width="31" style="272" bestFit="1" customWidth="1"/>
    <col min="15363" max="15363" width="13.26953125" style="272" bestFit="1" customWidth="1"/>
    <col min="15364" max="15367" width="9.08984375" style="272"/>
    <col min="15368" max="15368" width="4.6328125" style="272" customWidth="1"/>
    <col min="15369" max="15369" width="12.90625" style="272" bestFit="1" customWidth="1"/>
    <col min="15370" max="15373" width="10.6328125" style="272" customWidth="1"/>
    <col min="15374" max="15617" width="9.08984375" style="272"/>
    <col min="15618" max="15618" width="31" style="272" bestFit="1" customWidth="1"/>
    <col min="15619" max="15619" width="13.26953125" style="272" bestFit="1" customWidth="1"/>
    <col min="15620" max="15623" width="9.08984375" style="272"/>
    <col min="15624" max="15624" width="4.6328125" style="272" customWidth="1"/>
    <col min="15625" max="15625" width="12.90625" style="272" bestFit="1" customWidth="1"/>
    <col min="15626" max="15629" width="10.6328125" style="272" customWidth="1"/>
    <col min="15630" max="15873" width="9.08984375" style="272"/>
    <col min="15874" max="15874" width="31" style="272" bestFit="1" customWidth="1"/>
    <col min="15875" max="15875" width="13.26953125" style="272" bestFit="1" customWidth="1"/>
    <col min="15876" max="15879" width="9.08984375" style="272"/>
    <col min="15880" max="15880" width="4.6328125" style="272" customWidth="1"/>
    <col min="15881" max="15881" width="12.90625" style="272" bestFit="1" customWidth="1"/>
    <col min="15882" max="15885" width="10.6328125" style="272" customWidth="1"/>
    <col min="15886" max="16129" width="9.08984375" style="272"/>
    <col min="16130" max="16130" width="31" style="272" bestFit="1" customWidth="1"/>
    <col min="16131" max="16131" width="13.26953125" style="272" bestFit="1" customWidth="1"/>
    <col min="16132" max="16135" width="9.08984375" style="272"/>
    <col min="16136" max="16136" width="4.6328125" style="272" customWidth="1"/>
    <col min="16137" max="16137" width="12.90625" style="272" bestFit="1" customWidth="1"/>
    <col min="16138" max="16141" width="10.6328125" style="272" customWidth="1"/>
    <col min="16142" max="16384" width="9.08984375" style="272"/>
  </cols>
  <sheetData>
    <row r="1" spans="1:13" ht="40" customHeight="1" x14ac:dyDescent="0.35">
      <c r="A1" s="496"/>
      <c r="B1" s="496"/>
      <c r="C1" s="496"/>
      <c r="D1" s="496"/>
      <c r="E1" s="496"/>
      <c r="F1" s="496"/>
      <c r="G1" s="496"/>
    </row>
    <row r="2" spans="1:13" s="274" customFormat="1" ht="8" customHeight="1" x14ac:dyDescent="0.3">
      <c r="A2" s="497"/>
      <c r="B2" s="497"/>
      <c r="C2" s="497"/>
      <c r="D2" s="497"/>
      <c r="E2" s="497"/>
      <c r="F2" s="497"/>
      <c r="G2" s="497"/>
      <c r="H2" s="273"/>
    </row>
    <row r="3" spans="1:13" s="274" customFormat="1" ht="23" x14ac:dyDescent="0.5">
      <c r="A3" s="459" t="s">
        <v>211</v>
      </c>
      <c r="B3" s="460"/>
      <c r="C3" s="460"/>
      <c r="D3" s="460"/>
      <c r="E3" s="460"/>
      <c r="F3" s="460"/>
      <c r="G3" s="461"/>
      <c r="H3" s="273"/>
    </row>
    <row r="4" spans="1:13" s="274" customFormat="1" ht="13" x14ac:dyDescent="0.3">
      <c r="A4" s="273"/>
      <c r="B4" s="273"/>
      <c r="C4" s="273"/>
      <c r="D4" s="273"/>
      <c r="E4" s="273"/>
      <c r="F4" s="273"/>
      <c r="G4" s="273"/>
      <c r="H4" s="273"/>
    </row>
    <row r="5" spans="1:13" s="275" customFormat="1" ht="15" customHeight="1" x14ac:dyDescent="0.3">
      <c r="A5" s="462" t="s">
        <v>174</v>
      </c>
      <c r="B5" s="462"/>
      <c r="C5" s="462"/>
      <c r="D5" s="273"/>
      <c r="E5" s="273"/>
      <c r="F5" s="463" t="s">
        <v>283</v>
      </c>
      <c r="G5" s="463"/>
      <c r="H5" s="273"/>
      <c r="I5" s="508" t="s">
        <v>260</v>
      </c>
      <c r="J5" s="500" t="s">
        <v>261</v>
      </c>
      <c r="K5" s="501"/>
      <c r="L5" s="500" t="s">
        <v>262</v>
      </c>
      <c r="M5" s="501"/>
    </row>
    <row r="6" spans="1:13" s="275" customFormat="1" ht="15" customHeight="1" x14ac:dyDescent="0.3">
      <c r="A6" s="273"/>
      <c r="B6" s="273"/>
      <c r="C6" s="273"/>
      <c r="D6" s="273"/>
      <c r="E6" s="273"/>
      <c r="F6" s="273"/>
      <c r="G6" s="273"/>
      <c r="I6" s="509"/>
      <c r="J6" s="276" t="s">
        <v>263</v>
      </c>
      <c r="K6" s="276" t="s">
        <v>11</v>
      </c>
      <c r="L6" s="276" t="s">
        <v>264</v>
      </c>
      <c r="M6" s="276" t="s">
        <v>11</v>
      </c>
    </row>
    <row r="7" spans="1:13" s="275" customFormat="1" ht="15" customHeight="1" x14ac:dyDescent="0.3">
      <c r="A7" s="277"/>
      <c r="B7" s="278"/>
      <c r="C7" s="279" t="s">
        <v>219</v>
      </c>
      <c r="D7" s="278"/>
      <c r="E7" s="278"/>
      <c r="F7" s="278"/>
      <c r="G7" s="280"/>
      <c r="I7" s="281" t="s">
        <v>265</v>
      </c>
      <c r="J7" s="282">
        <v>181.9</v>
      </c>
      <c r="K7" s="282">
        <f>J7*(24*0.024535)</f>
        <v>107.10999600000001</v>
      </c>
      <c r="L7" s="502" t="s">
        <v>266</v>
      </c>
      <c r="M7" s="502" t="s">
        <v>267</v>
      </c>
    </row>
    <row r="8" spans="1:13" s="275" customFormat="1" ht="15" customHeight="1" x14ac:dyDescent="0.3">
      <c r="A8" s="283" t="s">
        <v>284</v>
      </c>
      <c r="B8" s="275" t="s">
        <v>285</v>
      </c>
      <c r="C8" s="284">
        <v>0</v>
      </c>
      <c r="D8" s="275" t="s">
        <v>4</v>
      </c>
      <c r="E8" s="285">
        <f>C8/7.48</f>
        <v>0</v>
      </c>
      <c r="F8" s="286" t="s">
        <v>286</v>
      </c>
      <c r="G8" s="287"/>
      <c r="I8" s="288" t="s">
        <v>268</v>
      </c>
      <c r="J8" s="289">
        <v>141.30000000000001</v>
      </c>
      <c r="K8" s="289">
        <f t="shared" ref="K8:K18" si="0">J8*(24*0.024535)</f>
        <v>83.203092000000012</v>
      </c>
      <c r="L8" s="503"/>
      <c r="M8" s="503"/>
    </row>
    <row r="9" spans="1:13" s="275" customFormat="1" ht="15" customHeight="1" x14ac:dyDescent="0.3">
      <c r="A9" s="283" t="s">
        <v>287</v>
      </c>
      <c r="B9" s="275" t="s">
        <v>288</v>
      </c>
      <c r="C9" s="290">
        <v>0</v>
      </c>
      <c r="D9" s="275" t="s">
        <v>28</v>
      </c>
      <c r="E9" s="291"/>
      <c r="F9" s="286"/>
      <c r="G9" s="287"/>
      <c r="I9" s="292" t="s">
        <v>269</v>
      </c>
      <c r="J9" s="293">
        <v>123</v>
      </c>
      <c r="K9" s="289">
        <f t="shared" si="0"/>
        <v>72.427320000000009</v>
      </c>
      <c r="L9" s="504"/>
      <c r="M9" s="504"/>
    </row>
    <row r="10" spans="1:13" s="275" customFormat="1" ht="15" customHeight="1" x14ac:dyDescent="0.3">
      <c r="A10" s="283" t="s">
        <v>289</v>
      </c>
      <c r="B10" s="275" t="s">
        <v>290</v>
      </c>
      <c r="C10" s="290">
        <v>0</v>
      </c>
      <c r="D10" s="275" t="s">
        <v>28</v>
      </c>
      <c r="E10" s="291"/>
      <c r="F10" s="286"/>
      <c r="G10" s="287"/>
      <c r="I10" s="281" t="s">
        <v>270</v>
      </c>
      <c r="J10" s="294">
        <v>55.8</v>
      </c>
      <c r="K10" s="282">
        <f t="shared" si="0"/>
        <v>32.857272000000002</v>
      </c>
      <c r="L10" s="505" t="s">
        <v>271</v>
      </c>
      <c r="M10" s="502" t="s">
        <v>272</v>
      </c>
    </row>
    <row r="11" spans="1:13" s="275" customFormat="1" ht="15" customHeight="1" x14ac:dyDescent="0.3">
      <c r="A11" s="283" t="s">
        <v>291</v>
      </c>
      <c r="B11" s="275" t="s">
        <v>292</v>
      </c>
      <c r="C11" s="295" t="s">
        <v>282</v>
      </c>
      <c r="E11" s="291">
        <f>(_xlfn.XLOOKUP(C11,I7:I18,K7:K18)*0.134)</f>
        <v>0.15780912000000002</v>
      </c>
      <c r="F11" s="286" t="s">
        <v>225</v>
      </c>
      <c r="G11" s="287"/>
      <c r="I11" s="288" t="s">
        <v>273</v>
      </c>
      <c r="J11" s="296">
        <v>6.2</v>
      </c>
      <c r="K11" s="289">
        <f t="shared" si="0"/>
        <v>3.6508080000000005</v>
      </c>
      <c r="L11" s="506"/>
      <c r="M11" s="503"/>
    </row>
    <row r="12" spans="1:13" s="275" customFormat="1" ht="15" customHeight="1" x14ac:dyDescent="0.3">
      <c r="A12" s="283" t="s">
        <v>293</v>
      </c>
      <c r="B12" s="275" t="s">
        <v>10</v>
      </c>
      <c r="C12" s="297">
        <v>0</v>
      </c>
      <c r="D12" s="275" t="s">
        <v>294</v>
      </c>
      <c r="E12" s="291">
        <f>C12*0.134</f>
        <v>0</v>
      </c>
      <c r="F12" s="286" t="s">
        <v>225</v>
      </c>
      <c r="G12" s="287"/>
      <c r="I12" s="288" t="s">
        <v>235</v>
      </c>
      <c r="J12" s="296">
        <v>14.4</v>
      </c>
      <c r="K12" s="289">
        <f t="shared" si="0"/>
        <v>8.4792960000000015</v>
      </c>
      <c r="L12" s="507"/>
      <c r="M12" s="504"/>
    </row>
    <row r="13" spans="1:13" s="275" customFormat="1" ht="15" customHeight="1" x14ac:dyDescent="0.3">
      <c r="A13" s="298" t="s">
        <v>295</v>
      </c>
      <c r="B13" s="299" t="s">
        <v>296</v>
      </c>
      <c r="C13" s="300">
        <v>1</v>
      </c>
      <c r="D13" s="299" t="s">
        <v>28</v>
      </c>
      <c r="E13" s="301"/>
      <c r="F13" s="301"/>
      <c r="G13" s="302"/>
      <c r="I13" s="281" t="s">
        <v>274</v>
      </c>
      <c r="J13" s="294">
        <v>7.7</v>
      </c>
      <c r="K13" s="282">
        <f t="shared" si="0"/>
        <v>4.5340680000000004</v>
      </c>
      <c r="L13" s="505" t="s">
        <v>275</v>
      </c>
      <c r="M13" s="502" t="s">
        <v>276</v>
      </c>
    </row>
    <row r="14" spans="1:13" s="275" customFormat="1" ht="15" customHeight="1" x14ac:dyDescent="0.3">
      <c r="A14" s="303"/>
      <c r="C14" s="304"/>
      <c r="E14" s="286"/>
      <c r="F14" s="286"/>
      <c r="G14" s="286"/>
      <c r="I14" s="288" t="s">
        <v>277</v>
      </c>
      <c r="J14" s="296">
        <v>4.2</v>
      </c>
      <c r="K14" s="289">
        <f t="shared" si="0"/>
        <v>2.4731280000000004</v>
      </c>
      <c r="L14" s="506"/>
      <c r="M14" s="503"/>
    </row>
    <row r="15" spans="1:13" s="275" customFormat="1" ht="15" customHeight="1" x14ac:dyDescent="0.3">
      <c r="A15" s="305"/>
      <c r="B15" s="306"/>
      <c r="C15" s="307" t="s">
        <v>242</v>
      </c>
      <c r="D15" s="306"/>
      <c r="E15" s="308"/>
      <c r="F15" s="308"/>
      <c r="G15" s="309"/>
      <c r="I15" s="292" t="s">
        <v>237</v>
      </c>
      <c r="J15" s="310">
        <v>4.9000000000000004</v>
      </c>
      <c r="K15" s="289">
        <f t="shared" si="0"/>
        <v>2.8853160000000004</v>
      </c>
      <c r="L15" s="507"/>
      <c r="M15" s="504"/>
    </row>
    <row r="16" spans="1:13" s="275" customFormat="1" ht="15" customHeight="1" x14ac:dyDescent="0.3">
      <c r="A16" s="283" t="s">
        <v>297</v>
      </c>
      <c r="B16" s="275" t="s">
        <v>298</v>
      </c>
      <c r="C16" s="311">
        <f>SQRT(C17/PI())</f>
        <v>0</v>
      </c>
      <c r="D16" s="275" t="s">
        <v>28</v>
      </c>
      <c r="E16" s="286"/>
      <c r="F16" s="286"/>
      <c r="G16" s="287"/>
      <c r="I16" s="281" t="s">
        <v>278</v>
      </c>
      <c r="J16" s="294">
        <v>0.9</v>
      </c>
      <c r="K16" s="282">
        <f t="shared" si="0"/>
        <v>0.52995600000000009</v>
      </c>
      <c r="L16" s="505" t="s">
        <v>279</v>
      </c>
      <c r="M16" s="502" t="s">
        <v>280</v>
      </c>
    </row>
    <row r="17" spans="1:13" s="275" customFormat="1" ht="15" customHeight="1" x14ac:dyDescent="0.3">
      <c r="A17" s="283" t="s">
        <v>299</v>
      </c>
      <c r="B17" s="275" t="s">
        <v>300</v>
      </c>
      <c r="C17" s="312">
        <f>C9*C10</f>
        <v>0</v>
      </c>
      <c r="D17" s="275" t="s">
        <v>301</v>
      </c>
      <c r="E17" s="286"/>
      <c r="F17" s="286"/>
      <c r="G17" s="287"/>
      <c r="I17" s="288" t="s">
        <v>302</v>
      </c>
      <c r="J17" s="296">
        <v>1.8</v>
      </c>
      <c r="K17" s="289">
        <f t="shared" si="0"/>
        <v>1.0599120000000002</v>
      </c>
      <c r="L17" s="506"/>
      <c r="M17" s="503"/>
    </row>
    <row r="18" spans="1:13" s="275" customFormat="1" ht="15" customHeight="1" x14ac:dyDescent="0.3">
      <c r="A18" s="283" t="s">
        <v>303</v>
      </c>
      <c r="B18" s="275" t="s">
        <v>304</v>
      </c>
      <c r="C18" s="311" t="e">
        <f>IF((E18-C13)&lt;0,0,(E18-C13))</f>
        <v>#DIV/0!</v>
      </c>
      <c r="D18" s="275" t="s">
        <v>28</v>
      </c>
      <c r="E18" s="313" t="e">
        <f>SQRT(IF((((C13^2)+((E8/(PI()*E11))*((LN(C19/C16))+0.5))))&lt;0,0,(((C13^2)+((E8/(PI()*E11))*((LN(C19/C16))+0.5))))))</f>
        <v>#DIV/0!</v>
      </c>
      <c r="F18" s="314"/>
      <c r="G18" s="287"/>
      <c r="I18" s="292" t="s">
        <v>282</v>
      </c>
      <c r="J18" s="310">
        <v>2</v>
      </c>
      <c r="K18" s="293">
        <f t="shared" si="0"/>
        <v>1.1776800000000001</v>
      </c>
      <c r="L18" s="507"/>
      <c r="M18" s="504"/>
    </row>
    <row r="19" spans="1:13" x14ac:dyDescent="0.35">
      <c r="A19" s="298" t="s">
        <v>305</v>
      </c>
      <c r="B19" s="299" t="s">
        <v>306</v>
      </c>
      <c r="C19" s="315" t="e">
        <f>(C8/C9)/C12</f>
        <v>#DIV/0!</v>
      </c>
      <c r="D19" s="299" t="s">
        <v>28</v>
      </c>
      <c r="E19" s="301"/>
      <c r="F19" s="301"/>
      <c r="G19" s="302"/>
    </row>
    <row r="20" spans="1:13" x14ac:dyDescent="0.35">
      <c r="A20" s="303"/>
      <c r="B20" s="275"/>
      <c r="C20" s="311"/>
      <c r="D20" s="275"/>
      <c r="E20" s="286"/>
      <c r="F20" s="286"/>
      <c r="G20" s="286"/>
    </row>
    <row r="21" spans="1:13" ht="18" x14ac:dyDescent="0.4">
      <c r="A21" s="510" t="s">
        <v>307</v>
      </c>
      <c r="B21" s="511"/>
      <c r="C21" s="511"/>
      <c r="D21" s="511"/>
      <c r="E21" s="511"/>
      <c r="F21" s="511"/>
      <c r="G21" s="512"/>
    </row>
    <row r="22" spans="1:13" ht="18" x14ac:dyDescent="0.4">
      <c r="A22" s="316"/>
      <c r="B22" s="317"/>
      <c r="C22" s="317"/>
      <c r="D22" s="317"/>
      <c r="E22" s="317"/>
      <c r="F22" s="317"/>
      <c r="G22" s="318"/>
    </row>
    <row r="23" spans="1:13" x14ac:dyDescent="0.35">
      <c r="A23" s="319"/>
      <c r="G23" s="320"/>
    </row>
    <row r="24" spans="1:13" x14ac:dyDescent="0.35">
      <c r="A24" s="319"/>
      <c r="G24" s="320"/>
    </row>
    <row r="25" spans="1:13" x14ac:dyDescent="0.35">
      <c r="A25" s="319"/>
      <c r="G25" s="320"/>
    </row>
    <row r="26" spans="1:13" x14ac:dyDescent="0.35">
      <c r="A26" s="319"/>
      <c r="G26" s="320"/>
    </row>
    <row r="27" spans="1:13" x14ac:dyDescent="0.35">
      <c r="A27" s="319"/>
      <c r="G27" s="320"/>
    </row>
    <row r="28" spans="1:13" x14ac:dyDescent="0.35">
      <c r="A28" s="319"/>
      <c r="G28" s="320"/>
    </row>
    <row r="29" spans="1:13" x14ac:dyDescent="0.35">
      <c r="A29" s="319"/>
      <c r="G29" s="320"/>
    </row>
    <row r="30" spans="1:13" x14ac:dyDescent="0.35">
      <c r="A30" s="319"/>
      <c r="G30" s="320"/>
    </row>
    <row r="31" spans="1:13" x14ac:dyDescent="0.35">
      <c r="A31" s="319"/>
      <c r="G31" s="320"/>
    </row>
    <row r="32" spans="1:13" x14ac:dyDescent="0.35">
      <c r="A32" s="319"/>
      <c r="G32" s="320"/>
    </row>
    <row r="33" spans="1:7" x14ac:dyDescent="0.35">
      <c r="A33" s="319"/>
      <c r="G33" s="320"/>
    </row>
    <row r="34" spans="1:7" x14ac:dyDescent="0.35">
      <c r="A34" s="319"/>
      <c r="G34" s="320"/>
    </row>
    <row r="35" spans="1:7" x14ac:dyDescent="0.35">
      <c r="A35" s="319"/>
      <c r="G35" s="320"/>
    </row>
    <row r="36" spans="1:7" x14ac:dyDescent="0.35">
      <c r="A36" s="319"/>
      <c r="G36" s="320"/>
    </row>
    <row r="37" spans="1:7" x14ac:dyDescent="0.35">
      <c r="A37" s="319"/>
      <c r="G37" s="320"/>
    </row>
    <row r="38" spans="1:7" x14ac:dyDescent="0.35">
      <c r="A38" s="319"/>
      <c r="G38" s="320"/>
    </row>
    <row r="39" spans="1:7" x14ac:dyDescent="0.35">
      <c r="A39" s="319"/>
      <c r="G39" s="320"/>
    </row>
    <row r="40" spans="1:7" x14ac:dyDescent="0.35">
      <c r="A40" s="319"/>
      <c r="G40" s="320"/>
    </row>
    <row r="41" spans="1:7" x14ac:dyDescent="0.35">
      <c r="A41" s="319"/>
      <c r="G41" s="320"/>
    </row>
    <row r="42" spans="1:7" x14ac:dyDescent="0.35">
      <c r="A42" s="319"/>
      <c r="G42" s="320"/>
    </row>
    <row r="43" spans="1:7" x14ac:dyDescent="0.35">
      <c r="A43" s="319"/>
      <c r="G43" s="320"/>
    </row>
    <row r="44" spans="1:7" x14ac:dyDescent="0.35">
      <c r="A44" s="319"/>
      <c r="G44" s="320"/>
    </row>
    <row r="45" spans="1:7" x14ac:dyDescent="0.35">
      <c r="A45" s="319"/>
      <c r="G45" s="320"/>
    </row>
    <row r="46" spans="1:7" ht="15" customHeight="1" x14ac:dyDescent="0.35">
      <c r="A46" s="319"/>
      <c r="G46" s="320"/>
    </row>
    <row r="47" spans="1:7" x14ac:dyDescent="0.35">
      <c r="A47" s="319"/>
      <c r="G47" s="320"/>
    </row>
    <row r="48" spans="1:7" x14ac:dyDescent="0.35">
      <c r="A48" s="319"/>
      <c r="B48" s="498" t="s">
        <v>308</v>
      </c>
      <c r="C48" s="498"/>
      <c r="D48" s="498"/>
      <c r="E48" s="498"/>
      <c r="F48" s="498"/>
      <c r="G48" s="320"/>
    </row>
    <row r="49" spans="1:7" x14ac:dyDescent="0.35">
      <c r="A49" s="321"/>
      <c r="B49" s="499"/>
      <c r="C49" s="499"/>
      <c r="D49" s="499"/>
      <c r="E49" s="499"/>
      <c r="F49" s="499"/>
      <c r="G49" s="322"/>
    </row>
    <row r="50" spans="1:7" x14ac:dyDescent="0.35">
      <c r="B50" s="323"/>
      <c r="C50" s="323"/>
      <c r="D50" s="323"/>
      <c r="E50" s="323"/>
    </row>
  </sheetData>
  <sheetProtection algorithmName="SHA-512" hashValue="aQ98p+tEZcyUtmeLbcKgWv6ziO9VwWEQ3+vgmUjrz7S8PaipneWUJjIjUktnUAu8sJxSra/PihiH+t8+v7OAvQ==" saltValue="KpWVEg5ztVdS+XWlzZ/79A==" spinCount="100000" sheet="1" objects="1" scenarios="1"/>
  <mergeCells count="18">
    <mergeCell ref="B48:F49"/>
    <mergeCell ref="J5:K5"/>
    <mergeCell ref="L5:M5"/>
    <mergeCell ref="L7:L9"/>
    <mergeCell ref="M7:M9"/>
    <mergeCell ref="L10:L12"/>
    <mergeCell ref="M10:M12"/>
    <mergeCell ref="I5:I6"/>
    <mergeCell ref="L13:L15"/>
    <mergeCell ref="M13:M15"/>
    <mergeCell ref="L16:L18"/>
    <mergeCell ref="M16:M18"/>
    <mergeCell ref="A21:G21"/>
    <mergeCell ref="A1:G1"/>
    <mergeCell ref="A2:G2"/>
    <mergeCell ref="A3:G3"/>
    <mergeCell ref="A5:C5"/>
    <mergeCell ref="F5:G5"/>
  </mergeCells>
  <dataValidations count="1">
    <dataValidation type="list" allowBlank="1" showInputMessage="1" showErrorMessage="1" sqref="C11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7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3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9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5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91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7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3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9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5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71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7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3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9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5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51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43D2A18F-ADA6-42C3-B854-3BF2D3A74609}">
      <formula1>$I$7:$I$18</formula1>
    </dataValidation>
  </dataValidations>
  <pageMargins left="0.75" right="0.75" top="0.5" bottom="0.5"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08407-8E3C-421B-8B4D-D3C570130D8B}">
  <dimension ref="A1:J53"/>
  <sheetViews>
    <sheetView workbookViewId="0">
      <selection sqref="A1:F1"/>
    </sheetView>
  </sheetViews>
  <sheetFormatPr defaultColWidth="8.81640625" defaultRowHeight="12.5" x14ac:dyDescent="0.25"/>
  <cols>
    <col min="1" max="1" width="8.6328125" style="84" customWidth="1"/>
    <col min="2" max="2" width="41.81640625" style="84" customWidth="1"/>
    <col min="3" max="3" width="13.26953125" style="84" bestFit="1" customWidth="1"/>
    <col min="4" max="6" width="8.6328125" style="84" customWidth="1"/>
    <col min="7" max="7" width="8.81640625" style="84"/>
    <col min="8" max="8" width="12.90625" style="84" bestFit="1" customWidth="1"/>
    <col min="9" max="16384" width="8.81640625" style="84"/>
  </cols>
  <sheetData>
    <row r="1" spans="1:10" ht="40" customHeight="1" x14ac:dyDescent="0.25">
      <c r="A1" s="513"/>
      <c r="B1" s="513"/>
      <c r="C1" s="513"/>
      <c r="D1" s="513"/>
      <c r="E1" s="513"/>
      <c r="F1" s="513"/>
    </row>
    <row r="2" spans="1:10" ht="8" customHeight="1" x14ac:dyDescent="0.25">
      <c r="A2" s="514"/>
      <c r="B2" s="514"/>
      <c r="C2" s="514"/>
      <c r="D2" s="514"/>
      <c r="E2" s="514"/>
      <c r="F2" s="514"/>
    </row>
    <row r="3" spans="1:10" ht="23" x14ac:dyDescent="0.5">
      <c r="A3" s="515" t="s">
        <v>211</v>
      </c>
      <c r="B3" s="516"/>
      <c r="C3" s="516"/>
      <c r="D3" s="516"/>
      <c r="E3" s="516"/>
      <c r="F3" s="517"/>
      <c r="G3" s="324"/>
      <c r="H3" s="324"/>
      <c r="I3" s="324"/>
    </row>
    <row r="4" spans="1:10" ht="8" customHeight="1" x14ac:dyDescent="0.25">
      <c r="A4" s="518"/>
      <c r="B4" s="518"/>
      <c r="C4" s="518"/>
      <c r="D4" s="518"/>
      <c r="E4" s="518"/>
      <c r="F4" s="518"/>
      <c r="G4" s="325"/>
      <c r="H4" s="325"/>
      <c r="I4" s="325"/>
    </row>
    <row r="5" spans="1:10" ht="13" x14ac:dyDescent="0.25">
      <c r="A5" s="519" t="s">
        <v>174</v>
      </c>
      <c r="B5" s="519"/>
      <c r="C5" s="30"/>
      <c r="D5" s="30"/>
      <c r="E5" s="520" t="s">
        <v>214</v>
      </c>
      <c r="F5" s="520"/>
      <c r="G5" s="325"/>
      <c r="H5" s="325"/>
      <c r="I5" s="325"/>
    </row>
    <row r="6" spans="1:10" ht="13" x14ac:dyDescent="0.25">
      <c r="A6" s="526"/>
      <c r="B6" s="526"/>
      <c r="C6" s="526"/>
      <c r="D6" s="526"/>
      <c r="E6" s="526"/>
      <c r="F6" s="526"/>
      <c r="G6" s="325"/>
      <c r="H6" s="325"/>
      <c r="I6" s="325"/>
    </row>
    <row r="7" spans="1:10" ht="15" customHeight="1" x14ac:dyDescent="0.3">
      <c r="A7" s="9"/>
      <c r="B7" s="63"/>
      <c r="C7" s="326" t="s">
        <v>219</v>
      </c>
      <c r="D7" s="63"/>
      <c r="E7" s="63"/>
      <c r="F7" s="48"/>
      <c r="H7" s="508" t="s">
        <v>260</v>
      </c>
      <c r="I7" s="500" t="s">
        <v>261</v>
      </c>
      <c r="J7" s="501"/>
    </row>
    <row r="8" spans="1:10" ht="15" customHeight="1" x14ac:dyDescent="0.3">
      <c r="A8" s="327" t="s">
        <v>284</v>
      </c>
      <c r="B8" s="328" t="s">
        <v>309</v>
      </c>
      <c r="C8" s="329">
        <v>0</v>
      </c>
      <c r="D8" s="64" t="s">
        <v>4</v>
      </c>
      <c r="E8" s="330">
        <f>C8/264.2</f>
        <v>0</v>
      </c>
      <c r="F8" s="58" t="s">
        <v>310</v>
      </c>
      <c r="H8" s="509"/>
      <c r="I8" s="276" t="s">
        <v>263</v>
      </c>
      <c r="J8" s="276" t="s">
        <v>11</v>
      </c>
    </row>
    <row r="9" spans="1:10" ht="15" customHeight="1" x14ac:dyDescent="0.3">
      <c r="A9" s="327" t="s">
        <v>305</v>
      </c>
      <c r="B9" s="328" t="s">
        <v>311</v>
      </c>
      <c r="C9" s="331">
        <v>0</v>
      </c>
      <c r="D9" s="64" t="s">
        <v>28</v>
      </c>
      <c r="E9" s="330">
        <f>C9*0.3048</f>
        <v>0</v>
      </c>
      <c r="F9" s="58" t="s">
        <v>312</v>
      </c>
      <c r="H9" s="281" t="s">
        <v>265</v>
      </c>
      <c r="I9" s="282">
        <v>181.9</v>
      </c>
      <c r="J9" s="282">
        <f>I9*(24*0.024535)</f>
        <v>107.10999600000001</v>
      </c>
    </row>
    <row r="10" spans="1:10" ht="15" customHeight="1" x14ac:dyDescent="0.3">
      <c r="A10" s="327" t="s">
        <v>289</v>
      </c>
      <c r="B10" s="328" t="s">
        <v>313</v>
      </c>
      <c r="C10" s="331">
        <v>0</v>
      </c>
      <c r="D10" s="64" t="s">
        <v>28</v>
      </c>
      <c r="E10" s="330">
        <f>C10*0.3048</f>
        <v>0</v>
      </c>
      <c r="F10" s="58" t="s">
        <v>314</v>
      </c>
      <c r="H10" s="288" t="s">
        <v>268</v>
      </c>
      <c r="I10" s="289">
        <v>141.30000000000001</v>
      </c>
      <c r="J10" s="289">
        <f t="shared" ref="J10:J20" si="0">I10*(24*0.024535)</f>
        <v>83.203092000000012</v>
      </c>
    </row>
    <row r="11" spans="1:10" ht="15" customHeight="1" x14ac:dyDescent="0.4">
      <c r="A11" s="327" t="s">
        <v>315</v>
      </c>
      <c r="B11" s="328" t="s">
        <v>316</v>
      </c>
      <c r="C11" s="23" t="s">
        <v>270</v>
      </c>
      <c r="D11" s="332" t="s">
        <v>11</v>
      </c>
      <c r="E11" s="330">
        <f>(_xlfn.XLOOKUP(C11,H9:H20,J9:J20)*0.041)</f>
        <v>1.3471481520000002</v>
      </c>
      <c r="F11" s="58" t="s">
        <v>223</v>
      </c>
      <c r="H11" s="292" t="s">
        <v>269</v>
      </c>
      <c r="I11" s="293">
        <v>123</v>
      </c>
      <c r="J11" s="289">
        <f t="shared" si="0"/>
        <v>72.427320000000009</v>
      </c>
    </row>
    <row r="12" spans="1:10" ht="15" customHeight="1" x14ac:dyDescent="0.4">
      <c r="A12" s="327" t="s">
        <v>317</v>
      </c>
      <c r="B12" s="328" t="s">
        <v>318</v>
      </c>
      <c r="C12" s="23" t="s">
        <v>237</v>
      </c>
      <c r="D12" s="332" t="s">
        <v>11</v>
      </c>
      <c r="E12" s="330">
        <f>(_xlfn.XLOOKUP(C12,H9:H20,J9:J20)*0.041)</f>
        <v>0.11829795600000002</v>
      </c>
      <c r="F12" s="58" t="s">
        <v>223</v>
      </c>
      <c r="H12" s="281" t="s">
        <v>270</v>
      </c>
      <c r="I12" s="294">
        <v>55.8</v>
      </c>
      <c r="J12" s="282">
        <f t="shared" si="0"/>
        <v>32.857272000000002</v>
      </c>
    </row>
    <row r="13" spans="1:10" ht="15" customHeight="1" x14ac:dyDescent="0.4">
      <c r="A13" s="333" t="s">
        <v>319</v>
      </c>
      <c r="B13" s="334" t="s">
        <v>320</v>
      </c>
      <c r="C13" s="335" t="e">
        <f>C8/(C9*C10)</f>
        <v>#DIV/0!</v>
      </c>
      <c r="D13" s="336" t="s">
        <v>11</v>
      </c>
      <c r="E13" s="335" t="e">
        <f>C13*0.041</f>
        <v>#DIV/0!</v>
      </c>
      <c r="F13" s="337" t="s">
        <v>223</v>
      </c>
      <c r="H13" s="288" t="s">
        <v>273</v>
      </c>
      <c r="I13" s="296">
        <v>6.2</v>
      </c>
      <c r="J13" s="289">
        <f t="shared" si="0"/>
        <v>3.6508080000000005</v>
      </c>
    </row>
    <row r="14" spans="1:10" ht="15" customHeight="1" x14ac:dyDescent="0.3">
      <c r="A14" s="338" t="e">
        <f>E13/E11</f>
        <v>#DIV/0!</v>
      </c>
      <c r="B14" s="339" t="e">
        <f>(E13/E12)-1</f>
        <v>#DIV/0!</v>
      </c>
      <c r="C14" s="340" t="e">
        <f>IF(B14&gt;0,((A14*B14)^0.5),0)</f>
        <v>#DIV/0!</v>
      </c>
      <c r="D14" s="340" t="e">
        <f>(E10*0.5)*C14</f>
        <v>#DIV/0!</v>
      </c>
      <c r="E14" s="340"/>
      <c r="F14" s="340"/>
      <c r="H14" s="288" t="s">
        <v>235</v>
      </c>
      <c r="I14" s="296">
        <v>14.4</v>
      </c>
      <c r="J14" s="289">
        <f t="shared" si="0"/>
        <v>8.4792960000000015</v>
      </c>
    </row>
    <row r="15" spans="1:10" ht="15" customHeight="1" x14ac:dyDescent="0.3">
      <c r="A15" s="341"/>
      <c r="B15" s="342"/>
      <c r="C15" s="343" t="s">
        <v>242</v>
      </c>
      <c r="D15" s="344"/>
      <c r="E15" s="345"/>
      <c r="F15" s="346"/>
      <c r="H15" s="281" t="s">
        <v>274</v>
      </c>
      <c r="I15" s="294">
        <v>7.7</v>
      </c>
      <c r="J15" s="282">
        <f t="shared" si="0"/>
        <v>4.5340680000000004</v>
      </c>
    </row>
    <row r="16" spans="1:10" ht="15" customHeight="1" x14ac:dyDescent="0.3">
      <c r="A16" s="527" t="s">
        <v>321</v>
      </c>
      <c r="B16" s="528" t="s">
        <v>322</v>
      </c>
      <c r="C16" s="330" t="e">
        <f>D14</f>
        <v>#DIV/0!</v>
      </c>
      <c r="D16" s="64" t="s">
        <v>312</v>
      </c>
      <c r="E16" s="347"/>
      <c r="F16" s="348"/>
      <c r="H16" s="288" t="s">
        <v>277</v>
      </c>
      <c r="I16" s="296">
        <v>4.2</v>
      </c>
      <c r="J16" s="289">
        <f t="shared" si="0"/>
        <v>2.4731280000000004</v>
      </c>
    </row>
    <row r="17" spans="1:10" ht="15" customHeight="1" x14ac:dyDescent="0.3">
      <c r="A17" s="527"/>
      <c r="B17" s="528"/>
      <c r="C17" s="349" t="e">
        <f>C16*3.281</f>
        <v>#DIV/0!</v>
      </c>
      <c r="D17" s="64" t="s">
        <v>28</v>
      </c>
      <c r="E17" s="347"/>
      <c r="F17" s="348"/>
      <c r="H17" s="292" t="s">
        <v>237</v>
      </c>
      <c r="I17" s="310">
        <v>4.9000000000000004</v>
      </c>
      <c r="J17" s="289">
        <f t="shared" si="0"/>
        <v>2.8853160000000004</v>
      </c>
    </row>
    <row r="18" spans="1:10" ht="15" customHeight="1" x14ac:dyDescent="0.3">
      <c r="A18" s="527" t="s">
        <v>323</v>
      </c>
      <c r="B18" s="528" t="s">
        <v>324</v>
      </c>
      <c r="C18" s="330" t="e">
        <f>(E10*0.5)*(E13/E12)</f>
        <v>#DIV/0!</v>
      </c>
      <c r="D18" s="64" t="s">
        <v>312</v>
      </c>
      <c r="E18" s="347"/>
      <c r="F18" s="348"/>
      <c r="H18" s="281" t="s">
        <v>278</v>
      </c>
      <c r="I18" s="294">
        <v>0.9</v>
      </c>
      <c r="J18" s="282">
        <f t="shared" si="0"/>
        <v>0.52995600000000009</v>
      </c>
    </row>
    <row r="19" spans="1:10" ht="15" customHeight="1" x14ac:dyDescent="0.3">
      <c r="A19" s="527"/>
      <c r="B19" s="528"/>
      <c r="C19" s="349" t="e">
        <f>C18*3.281</f>
        <v>#DIV/0!</v>
      </c>
      <c r="D19" s="64" t="s">
        <v>28</v>
      </c>
      <c r="E19" s="347"/>
      <c r="F19" s="348"/>
      <c r="H19" s="288" t="s">
        <v>281</v>
      </c>
      <c r="I19" s="296">
        <v>1.8</v>
      </c>
      <c r="J19" s="289">
        <f t="shared" si="0"/>
        <v>1.0599120000000002</v>
      </c>
    </row>
    <row r="20" spans="1:10" ht="15" customHeight="1" x14ac:dyDescent="0.3">
      <c r="A20" s="350" t="s">
        <v>299</v>
      </c>
      <c r="B20" s="336" t="s">
        <v>300</v>
      </c>
      <c r="C20" s="351">
        <f>C9*C10</f>
        <v>0</v>
      </c>
      <c r="D20" s="68" t="s">
        <v>47</v>
      </c>
      <c r="E20" s="352"/>
      <c r="F20" s="353"/>
      <c r="H20" s="292" t="s">
        <v>282</v>
      </c>
      <c r="I20" s="310">
        <v>2</v>
      </c>
      <c r="J20" s="293">
        <f t="shared" si="0"/>
        <v>1.1776800000000001</v>
      </c>
    </row>
    <row r="21" spans="1:10" ht="13" x14ac:dyDescent="0.3">
      <c r="A21" s="12"/>
      <c r="B21" s="12"/>
      <c r="C21" s="12"/>
      <c r="D21" s="12"/>
      <c r="E21" s="12"/>
      <c r="F21" s="12"/>
    </row>
    <row r="22" spans="1:10" ht="18" x14ac:dyDescent="0.4">
      <c r="A22" s="521" t="s">
        <v>325</v>
      </c>
      <c r="B22" s="522"/>
      <c r="C22" s="522"/>
      <c r="D22" s="522"/>
      <c r="E22" s="522"/>
      <c r="F22" s="523"/>
    </row>
    <row r="23" spans="1:10" ht="13" x14ac:dyDescent="0.3">
      <c r="A23" s="17"/>
      <c r="B23" s="64"/>
      <c r="C23" s="64"/>
      <c r="D23" s="64"/>
      <c r="E23" s="64"/>
      <c r="F23" s="58"/>
    </row>
    <row r="24" spans="1:10" ht="13" x14ac:dyDescent="0.3">
      <c r="A24" s="17"/>
      <c r="B24" s="64"/>
      <c r="C24" s="64"/>
      <c r="D24" s="64"/>
      <c r="E24" s="64"/>
      <c r="F24" s="58"/>
    </row>
    <row r="25" spans="1:10" x14ac:dyDescent="0.25">
      <c r="A25" s="354"/>
      <c r="B25" s="355"/>
      <c r="C25" s="355"/>
      <c r="D25" s="355"/>
      <c r="E25" s="355"/>
      <c r="F25" s="356"/>
    </row>
    <row r="26" spans="1:10" x14ac:dyDescent="0.25">
      <c r="A26" s="354"/>
      <c r="B26" s="355"/>
      <c r="C26" s="355"/>
      <c r="D26" s="355"/>
      <c r="E26" s="355"/>
      <c r="F26" s="356"/>
    </row>
    <row r="27" spans="1:10" x14ac:dyDescent="0.25">
      <c r="A27" s="354"/>
      <c r="B27" s="355"/>
      <c r="C27" s="355"/>
      <c r="D27" s="355"/>
      <c r="E27" s="355"/>
      <c r="F27" s="356"/>
    </row>
    <row r="28" spans="1:10" x14ac:dyDescent="0.25">
      <c r="A28" s="354"/>
      <c r="B28" s="355"/>
      <c r="C28" s="355"/>
      <c r="D28" s="355"/>
      <c r="E28" s="355"/>
      <c r="F28" s="356"/>
    </row>
    <row r="29" spans="1:10" x14ac:dyDescent="0.25">
      <c r="A29" s="354"/>
      <c r="B29" s="355"/>
      <c r="C29" s="355"/>
      <c r="D29" s="355"/>
      <c r="E29" s="355"/>
      <c r="F29" s="356"/>
    </row>
    <row r="30" spans="1:10" x14ac:dyDescent="0.25">
      <c r="A30" s="354"/>
      <c r="B30" s="355"/>
      <c r="C30" s="355"/>
      <c r="D30" s="355"/>
      <c r="E30" s="355"/>
      <c r="F30" s="356"/>
    </row>
    <row r="31" spans="1:10" x14ac:dyDescent="0.25">
      <c r="A31" s="354"/>
      <c r="B31" s="355"/>
      <c r="C31" s="355"/>
      <c r="D31" s="355"/>
      <c r="E31" s="355"/>
      <c r="F31" s="356"/>
    </row>
    <row r="32" spans="1:10" x14ac:dyDescent="0.25">
      <c r="A32" s="354"/>
      <c r="B32" s="355"/>
      <c r="C32" s="355"/>
      <c r="D32" s="355"/>
      <c r="E32" s="355"/>
      <c r="F32" s="356"/>
    </row>
    <row r="33" spans="1:6" x14ac:dyDescent="0.25">
      <c r="A33" s="354"/>
      <c r="B33" s="355"/>
      <c r="C33" s="355"/>
      <c r="D33" s="355"/>
      <c r="E33" s="355"/>
      <c r="F33" s="356"/>
    </row>
    <row r="34" spans="1:6" x14ac:dyDescent="0.25">
      <c r="A34" s="354"/>
      <c r="B34" s="355"/>
      <c r="C34" s="355"/>
      <c r="D34" s="355"/>
      <c r="E34" s="355"/>
      <c r="F34" s="356"/>
    </row>
    <row r="35" spans="1:6" x14ac:dyDescent="0.25">
      <c r="A35" s="354"/>
      <c r="B35" s="355"/>
      <c r="C35" s="355"/>
      <c r="D35" s="355"/>
      <c r="E35" s="355"/>
      <c r="F35" s="356"/>
    </row>
    <row r="36" spans="1:6" x14ac:dyDescent="0.25">
      <c r="A36" s="354"/>
      <c r="B36" s="355"/>
      <c r="C36" s="355"/>
      <c r="D36" s="355"/>
      <c r="E36" s="355"/>
      <c r="F36" s="356"/>
    </row>
    <row r="37" spans="1:6" x14ac:dyDescent="0.25">
      <c r="A37" s="354"/>
      <c r="B37" s="355"/>
      <c r="C37" s="355"/>
      <c r="D37" s="355"/>
      <c r="E37" s="355"/>
      <c r="F37" s="356"/>
    </row>
    <row r="38" spans="1:6" x14ac:dyDescent="0.25">
      <c r="A38" s="354"/>
      <c r="B38" s="355"/>
      <c r="C38" s="355"/>
      <c r="D38" s="355"/>
      <c r="E38" s="355"/>
      <c r="F38" s="356"/>
    </row>
    <row r="39" spans="1:6" x14ac:dyDescent="0.25">
      <c r="A39" s="354"/>
      <c r="B39" s="355"/>
      <c r="C39" s="355"/>
      <c r="D39" s="355"/>
      <c r="E39" s="355"/>
      <c r="F39" s="356"/>
    </row>
    <row r="40" spans="1:6" x14ac:dyDescent="0.25">
      <c r="A40" s="354"/>
      <c r="B40" s="355"/>
      <c r="C40" s="355"/>
      <c r="D40" s="355"/>
      <c r="E40" s="355"/>
      <c r="F40" s="356"/>
    </row>
    <row r="41" spans="1:6" x14ac:dyDescent="0.25">
      <c r="A41" s="354"/>
      <c r="B41" s="355"/>
      <c r="C41" s="355"/>
      <c r="D41" s="355"/>
      <c r="E41" s="355"/>
      <c r="F41" s="356"/>
    </row>
    <row r="42" spans="1:6" x14ac:dyDescent="0.25">
      <c r="A42" s="354"/>
      <c r="B42" s="355"/>
      <c r="C42" s="355"/>
      <c r="D42" s="355"/>
      <c r="E42" s="355"/>
      <c r="F42" s="356"/>
    </row>
    <row r="43" spans="1:6" x14ac:dyDescent="0.25">
      <c r="A43" s="354"/>
      <c r="B43" s="355"/>
      <c r="C43" s="355"/>
      <c r="D43" s="355"/>
      <c r="E43" s="355"/>
      <c r="F43" s="356"/>
    </row>
    <row r="44" spans="1:6" x14ac:dyDescent="0.25">
      <c r="A44" s="354"/>
      <c r="B44" s="355"/>
      <c r="C44" s="355"/>
      <c r="D44" s="355"/>
      <c r="E44" s="355"/>
      <c r="F44" s="356"/>
    </row>
    <row r="45" spans="1:6" x14ac:dyDescent="0.25">
      <c r="A45" s="354"/>
      <c r="B45" s="355"/>
      <c r="C45" s="355"/>
      <c r="D45" s="355"/>
      <c r="E45" s="355"/>
      <c r="F45" s="356"/>
    </row>
    <row r="46" spans="1:6" x14ac:dyDescent="0.25">
      <c r="A46" s="354"/>
      <c r="B46" s="355"/>
      <c r="C46" s="355"/>
      <c r="D46" s="355"/>
      <c r="E46" s="355"/>
      <c r="F46" s="356"/>
    </row>
    <row r="47" spans="1:6" x14ac:dyDescent="0.25">
      <c r="A47" s="354"/>
      <c r="B47" s="355"/>
      <c r="C47" s="355"/>
      <c r="D47" s="355"/>
      <c r="E47" s="355"/>
      <c r="F47" s="356"/>
    </row>
    <row r="48" spans="1:6" x14ac:dyDescent="0.25">
      <c r="A48" s="354"/>
      <c r="B48" s="355"/>
      <c r="C48" s="355"/>
      <c r="D48" s="355"/>
      <c r="E48" s="355"/>
      <c r="F48" s="356"/>
    </row>
    <row r="49" spans="1:8" x14ac:dyDescent="0.25">
      <c r="A49" s="354"/>
      <c r="B49" s="355"/>
      <c r="C49" s="355"/>
      <c r="D49" s="355"/>
      <c r="E49" s="355"/>
      <c r="F49" s="356"/>
    </row>
    <row r="50" spans="1:8" ht="12.75" customHeight="1" x14ac:dyDescent="0.25">
      <c r="A50" s="354"/>
      <c r="B50" s="524" t="s">
        <v>326</v>
      </c>
      <c r="C50" s="524"/>
      <c r="D50" s="524"/>
      <c r="E50" s="524"/>
      <c r="F50" s="357"/>
      <c r="G50" s="358"/>
      <c r="H50" s="358"/>
    </row>
    <row r="51" spans="1:8" x14ac:dyDescent="0.25">
      <c r="A51" s="354"/>
      <c r="B51" s="524"/>
      <c r="C51" s="524"/>
      <c r="D51" s="524"/>
      <c r="E51" s="524"/>
      <c r="F51" s="357"/>
      <c r="G51" s="358"/>
      <c r="H51" s="358"/>
    </row>
    <row r="52" spans="1:8" x14ac:dyDescent="0.25">
      <c r="A52" s="359"/>
      <c r="B52" s="525"/>
      <c r="C52" s="525"/>
      <c r="D52" s="525"/>
      <c r="E52" s="525"/>
      <c r="F52" s="360"/>
    </row>
    <row r="53" spans="1:8" x14ac:dyDescent="0.25">
      <c r="B53" s="358"/>
      <c r="C53" s="358"/>
      <c r="D53" s="358"/>
      <c r="E53" s="358"/>
    </row>
  </sheetData>
  <sheetProtection algorithmName="SHA-512" hashValue="Z8P9l/sTnNZuWVR+hcSbVwuYqjdqBegeXU9SBHwiTLk2Tqs25VWsBUztWdx8ynwGPkFKK94B0Q5SJA8HB2qHUQ==" saltValue="KANVUg8dAeLwckZ/QuUUng==" spinCount="100000" sheet="1"/>
  <mergeCells count="15">
    <mergeCell ref="A22:F22"/>
    <mergeCell ref="B50:E52"/>
    <mergeCell ref="A6:F6"/>
    <mergeCell ref="H7:H8"/>
    <mergeCell ref="I7:J7"/>
    <mergeCell ref="A16:A17"/>
    <mergeCell ref="B16:B17"/>
    <mergeCell ref="A18:A19"/>
    <mergeCell ref="B18:B19"/>
    <mergeCell ref="A1:F1"/>
    <mergeCell ref="A2:F2"/>
    <mergeCell ref="A3:F3"/>
    <mergeCell ref="A4:F4"/>
    <mergeCell ref="A5:B5"/>
    <mergeCell ref="E5:F5"/>
  </mergeCells>
  <dataValidations count="1">
    <dataValidation type="list" allowBlank="1" showInputMessage="1" showErrorMessage="1" sqref="C11:C12" xr:uid="{73DE2B91-DC67-41CE-B3C2-F88744E1E644}">
      <formula1>$H$9:$H$20</formula1>
    </dataValidation>
  </dataValidations>
  <pageMargins left="0.75" right="0.75" top="0.5" bottom="0.5" header="0.5" footer="0.5"/>
  <pageSetup orientation="portrait"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FA1F-63A3-4F3B-AE3C-F0B989B4A236}">
  <dimension ref="A1:G48"/>
  <sheetViews>
    <sheetView workbookViewId="0">
      <selection sqref="A1:G1"/>
    </sheetView>
  </sheetViews>
  <sheetFormatPr defaultColWidth="9.08984375" defaultRowHeight="14" x14ac:dyDescent="0.3"/>
  <cols>
    <col min="1" max="2" width="9.08984375" style="190"/>
    <col min="3" max="3" width="24.08984375" style="190" customWidth="1"/>
    <col min="4" max="4" width="9.54296875" style="190" bestFit="1" customWidth="1"/>
    <col min="5" max="5" width="11.54296875" style="190" customWidth="1"/>
    <col min="6" max="6" width="7" style="190" customWidth="1"/>
    <col min="7" max="258" width="9.08984375" style="190"/>
    <col min="259" max="259" width="24.08984375" style="190" customWidth="1"/>
    <col min="260" max="260" width="9.54296875" style="190" bestFit="1" customWidth="1"/>
    <col min="261" max="261" width="11.54296875" style="190" customWidth="1"/>
    <col min="262" max="262" width="7" style="190" customWidth="1"/>
    <col min="263" max="514" width="9.08984375" style="190"/>
    <col min="515" max="515" width="24.08984375" style="190" customWidth="1"/>
    <col min="516" max="516" width="9.54296875" style="190" bestFit="1" customWidth="1"/>
    <col min="517" max="517" width="11.54296875" style="190" customWidth="1"/>
    <col min="518" max="518" width="7" style="190" customWidth="1"/>
    <col min="519" max="770" width="9.08984375" style="190"/>
    <col min="771" max="771" width="24.08984375" style="190" customWidth="1"/>
    <col min="772" max="772" width="9.54296875" style="190" bestFit="1" customWidth="1"/>
    <col min="773" max="773" width="11.54296875" style="190" customWidth="1"/>
    <col min="774" max="774" width="7" style="190" customWidth="1"/>
    <col min="775" max="1026" width="9.08984375" style="190"/>
    <col min="1027" max="1027" width="24.08984375" style="190" customWidth="1"/>
    <col min="1028" max="1028" width="9.54296875" style="190" bestFit="1" customWidth="1"/>
    <col min="1029" max="1029" width="11.54296875" style="190" customWidth="1"/>
    <col min="1030" max="1030" width="7" style="190" customWidth="1"/>
    <col min="1031" max="1282" width="9.08984375" style="190"/>
    <col min="1283" max="1283" width="24.08984375" style="190" customWidth="1"/>
    <col min="1284" max="1284" width="9.54296875" style="190" bestFit="1" customWidth="1"/>
    <col min="1285" max="1285" width="11.54296875" style="190" customWidth="1"/>
    <col min="1286" max="1286" width="7" style="190" customWidth="1"/>
    <col min="1287" max="1538" width="9.08984375" style="190"/>
    <col min="1539" max="1539" width="24.08984375" style="190" customWidth="1"/>
    <col min="1540" max="1540" width="9.54296875" style="190" bestFit="1" customWidth="1"/>
    <col min="1541" max="1541" width="11.54296875" style="190" customWidth="1"/>
    <col min="1542" max="1542" width="7" style="190" customWidth="1"/>
    <col min="1543" max="1794" width="9.08984375" style="190"/>
    <col min="1795" max="1795" width="24.08984375" style="190" customWidth="1"/>
    <col min="1796" max="1796" width="9.54296875" style="190" bestFit="1" customWidth="1"/>
    <col min="1797" max="1797" width="11.54296875" style="190" customWidth="1"/>
    <col min="1798" max="1798" width="7" style="190" customWidth="1"/>
    <col min="1799" max="2050" width="9.08984375" style="190"/>
    <col min="2051" max="2051" width="24.08984375" style="190" customWidth="1"/>
    <col min="2052" max="2052" width="9.54296875" style="190" bestFit="1" customWidth="1"/>
    <col min="2053" max="2053" width="11.54296875" style="190" customWidth="1"/>
    <col min="2054" max="2054" width="7" style="190" customWidth="1"/>
    <col min="2055" max="2306" width="9.08984375" style="190"/>
    <col min="2307" max="2307" width="24.08984375" style="190" customWidth="1"/>
    <col min="2308" max="2308" width="9.54296875" style="190" bestFit="1" customWidth="1"/>
    <col min="2309" max="2309" width="11.54296875" style="190" customWidth="1"/>
    <col min="2310" max="2310" width="7" style="190" customWidth="1"/>
    <col min="2311" max="2562" width="9.08984375" style="190"/>
    <col min="2563" max="2563" width="24.08984375" style="190" customWidth="1"/>
    <col min="2564" max="2564" width="9.54296875" style="190" bestFit="1" customWidth="1"/>
    <col min="2565" max="2565" width="11.54296875" style="190" customWidth="1"/>
    <col min="2566" max="2566" width="7" style="190" customWidth="1"/>
    <col min="2567" max="2818" width="9.08984375" style="190"/>
    <col min="2819" max="2819" width="24.08984375" style="190" customWidth="1"/>
    <col min="2820" max="2820" width="9.54296875" style="190" bestFit="1" customWidth="1"/>
    <col min="2821" max="2821" width="11.54296875" style="190" customWidth="1"/>
    <col min="2822" max="2822" width="7" style="190" customWidth="1"/>
    <col min="2823" max="3074" width="9.08984375" style="190"/>
    <col min="3075" max="3075" width="24.08984375" style="190" customWidth="1"/>
    <col min="3076" max="3076" width="9.54296875" style="190" bestFit="1" customWidth="1"/>
    <col min="3077" max="3077" width="11.54296875" style="190" customWidth="1"/>
    <col min="3078" max="3078" width="7" style="190" customWidth="1"/>
    <col min="3079" max="3330" width="9.08984375" style="190"/>
    <col min="3331" max="3331" width="24.08984375" style="190" customWidth="1"/>
    <col min="3332" max="3332" width="9.54296875" style="190" bestFit="1" customWidth="1"/>
    <col min="3333" max="3333" width="11.54296875" style="190" customWidth="1"/>
    <col min="3334" max="3334" width="7" style="190" customWidth="1"/>
    <col min="3335" max="3586" width="9.08984375" style="190"/>
    <col min="3587" max="3587" width="24.08984375" style="190" customWidth="1"/>
    <col min="3588" max="3588" width="9.54296875" style="190" bestFit="1" customWidth="1"/>
    <col min="3589" max="3589" width="11.54296875" style="190" customWidth="1"/>
    <col min="3590" max="3590" width="7" style="190" customWidth="1"/>
    <col min="3591" max="3842" width="9.08984375" style="190"/>
    <col min="3843" max="3843" width="24.08984375" style="190" customWidth="1"/>
    <col min="3844" max="3844" width="9.54296875" style="190" bestFit="1" customWidth="1"/>
    <col min="3845" max="3845" width="11.54296875" style="190" customWidth="1"/>
    <col min="3846" max="3846" width="7" style="190" customWidth="1"/>
    <col min="3847" max="4098" width="9.08984375" style="190"/>
    <col min="4099" max="4099" width="24.08984375" style="190" customWidth="1"/>
    <col min="4100" max="4100" width="9.54296875" style="190" bestFit="1" customWidth="1"/>
    <col min="4101" max="4101" width="11.54296875" style="190" customWidth="1"/>
    <col min="4102" max="4102" width="7" style="190" customWidth="1"/>
    <col min="4103" max="4354" width="9.08984375" style="190"/>
    <col min="4355" max="4355" width="24.08984375" style="190" customWidth="1"/>
    <col min="4356" max="4356" width="9.54296875" style="190" bestFit="1" customWidth="1"/>
    <col min="4357" max="4357" width="11.54296875" style="190" customWidth="1"/>
    <col min="4358" max="4358" width="7" style="190" customWidth="1"/>
    <col min="4359" max="4610" width="9.08984375" style="190"/>
    <col min="4611" max="4611" width="24.08984375" style="190" customWidth="1"/>
    <col min="4612" max="4612" width="9.54296875" style="190" bestFit="1" customWidth="1"/>
    <col min="4613" max="4613" width="11.54296875" style="190" customWidth="1"/>
    <col min="4614" max="4614" width="7" style="190" customWidth="1"/>
    <col min="4615" max="4866" width="9.08984375" style="190"/>
    <col min="4867" max="4867" width="24.08984375" style="190" customWidth="1"/>
    <col min="4868" max="4868" width="9.54296875" style="190" bestFit="1" customWidth="1"/>
    <col min="4869" max="4869" width="11.54296875" style="190" customWidth="1"/>
    <col min="4870" max="4870" width="7" style="190" customWidth="1"/>
    <col min="4871" max="5122" width="9.08984375" style="190"/>
    <col min="5123" max="5123" width="24.08984375" style="190" customWidth="1"/>
    <col min="5124" max="5124" width="9.54296875" style="190" bestFit="1" customWidth="1"/>
    <col min="5125" max="5125" width="11.54296875" style="190" customWidth="1"/>
    <col min="5126" max="5126" width="7" style="190" customWidth="1"/>
    <col min="5127" max="5378" width="9.08984375" style="190"/>
    <col min="5379" max="5379" width="24.08984375" style="190" customWidth="1"/>
    <col min="5380" max="5380" width="9.54296875" style="190" bestFit="1" customWidth="1"/>
    <col min="5381" max="5381" width="11.54296875" style="190" customWidth="1"/>
    <col min="5382" max="5382" width="7" style="190" customWidth="1"/>
    <col min="5383" max="5634" width="9.08984375" style="190"/>
    <col min="5635" max="5635" width="24.08984375" style="190" customWidth="1"/>
    <col min="5636" max="5636" width="9.54296875" style="190" bestFit="1" customWidth="1"/>
    <col min="5637" max="5637" width="11.54296875" style="190" customWidth="1"/>
    <col min="5638" max="5638" width="7" style="190" customWidth="1"/>
    <col min="5639" max="5890" width="9.08984375" style="190"/>
    <col min="5891" max="5891" width="24.08984375" style="190" customWidth="1"/>
    <col min="5892" max="5892" width="9.54296875" style="190" bestFit="1" customWidth="1"/>
    <col min="5893" max="5893" width="11.54296875" style="190" customWidth="1"/>
    <col min="5894" max="5894" width="7" style="190" customWidth="1"/>
    <col min="5895" max="6146" width="9.08984375" style="190"/>
    <col min="6147" max="6147" width="24.08984375" style="190" customWidth="1"/>
    <col min="6148" max="6148" width="9.54296875" style="190" bestFit="1" customWidth="1"/>
    <col min="6149" max="6149" width="11.54296875" style="190" customWidth="1"/>
    <col min="6150" max="6150" width="7" style="190" customWidth="1"/>
    <col min="6151" max="6402" width="9.08984375" style="190"/>
    <col min="6403" max="6403" width="24.08984375" style="190" customWidth="1"/>
    <col min="6404" max="6404" width="9.54296875" style="190" bestFit="1" customWidth="1"/>
    <col min="6405" max="6405" width="11.54296875" style="190" customWidth="1"/>
    <col min="6406" max="6406" width="7" style="190" customWidth="1"/>
    <col min="6407" max="6658" width="9.08984375" style="190"/>
    <col min="6659" max="6659" width="24.08984375" style="190" customWidth="1"/>
    <col min="6660" max="6660" width="9.54296875" style="190" bestFit="1" customWidth="1"/>
    <col min="6661" max="6661" width="11.54296875" style="190" customWidth="1"/>
    <col min="6662" max="6662" width="7" style="190" customWidth="1"/>
    <col min="6663" max="6914" width="9.08984375" style="190"/>
    <col min="6915" max="6915" width="24.08984375" style="190" customWidth="1"/>
    <col min="6916" max="6916" width="9.54296875" style="190" bestFit="1" customWidth="1"/>
    <col min="6917" max="6917" width="11.54296875" style="190" customWidth="1"/>
    <col min="6918" max="6918" width="7" style="190" customWidth="1"/>
    <col min="6919" max="7170" width="9.08984375" style="190"/>
    <col min="7171" max="7171" width="24.08984375" style="190" customWidth="1"/>
    <col min="7172" max="7172" width="9.54296875" style="190" bestFit="1" customWidth="1"/>
    <col min="7173" max="7173" width="11.54296875" style="190" customWidth="1"/>
    <col min="7174" max="7174" width="7" style="190" customWidth="1"/>
    <col min="7175" max="7426" width="9.08984375" style="190"/>
    <col min="7427" max="7427" width="24.08984375" style="190" customWidth="1"/>
    <col min="7428" max="7428" width="9.54296875" style="190" bestFit="1" customWidth="1"/>
    <col min="7429" max="7429" width="11.54296875" style="190" customWidth="1"/>
    <col min="7430" max="7430" width="7" style="190" customWidth="1"/>
    <col min="7431" max="7682" width="9.08984375" style="190"/>
    <col min="7683" max="7683" width="24.08984375" style="190" customWidth="1"/>
    <col min="7684" max="7684" width="9.54296875" style="190" bestFit="1" customWidth="1"/>
    <col min="7685" max="7685" width="11.54296875" style="190" customWidth="1"/>
    <col min="7686" max="7686" width="7" style="190" customWidth="1"/>
    <col min="7687" max="7938" width="9.08984375" style="190"/>
    <col min="7939" max="7939" width="24.08984375" style="190" customWidth="1"/>
    <col min="7940" max="7940" width="9.54296875" style="190" bestFit="1" customWidth="1"/>
    <col min="7941" max="7941" width="11.54296875" style="190" customWidth="1"/>
    <col min="7942" max="7942" width="7" style="190" customWidth="1"/>
    <col min="7943" max="8194" width="9.08984375" style="190"/>
    <col min="8195" max="8195" width="24.08984375" style="190" customWidth="1"/>
    <col min="8196" max="8196" width="9.54296875" style="190" bestFit="1" customWidth="1"/>
    <col min="8197" max="8197" width="11.54296875" style="190" customWidth="1"/>
    <col min="8198" max="8198" width="7" style="190" customWidth="1"/>
    <col min="8199" max="8450" width="9.08984375" style="190"/>
    <col min="8451" max="8451" width="24.08984375" style="190" customWidth="1"/>
    <col min="8452" max="8452" width="9.54296875" style="190" bestFit="1" customWidth="1"/>
    <col min="8453" max="8453" width="11.54296875" style="190" customWidth="1"/>
    <col min="8454" max="8454" width="7" style="190" customWidth="1"/>
    <col min="8455" max="8706" width="9.08984375" style="190"/>
    <col min="8707" max="8707" width="24.08984375" style="190" customWidth="1"/>
    <col min="8708" max="8708" width="9.54296875" style="190" bestFit="1" customWidth="1"/>
    <col min="8709" max="8709" width="11.54296875" style="190" customWidth="1"/>
    <col min="8710" max="8710" width="7" style="190" customWidth="1"/>
    <col min="8711" max="8962" width="9.08984375" style="190"/>
    <col min="8963" max="8963" width="24.08984375" style="190" customWidth="1"/>
    <col min="8964" max="8964" width="9.54296875" style="190" bestFit="1" customWidth="1"/>
    <col min="8965" max="8965" width="11.54296875" style="190" customWidth="1"/>
    <col min="8966" max="8966" width="7" style="190" customWidth="1"/>
    <col min="8967" max="9218" width="9.08984375" style="190"/>
    <col min="9219" max="9219" width="24.08984375" style="190" customWidth="1"/>
    <col min="9220" max="9220" width="9.54296875" style="190" bestFit="1" customWidth="1"/>
    <col min="9221" max="9221" width="11.54296875" style="190" customWidth="1"/>
    <col min="9222" max="9222" width="7" style="190" customWidth="1"/>
    <col min="9223" max="9474" width="9.08984375" style="190"/>
    <col min="9475" max="9475" width="24.08984375" style="190" customWidth="1"/>
    <col min="9476" max="9476" width="9.54296875" style="190" bestFit="1" customWidth="1"/>
    <col min="9477" max="9477" width="11.54296875" style="190" customWidth="1"/>
    <col min="9478" max="9478" width="7" style="190" customWidth="1"/>
    <col min="9479" max="9730" width="9.08984375" style="190"/>
    <col min="9731" max="9731" width="24.08984375" style="190" customWidth="1"/>
    <col min="9732" max="9732" width="9.54296875" style="190" bestFit="1" customWidth="1"/>
    <col min="9733" max="9733" width="11.54296875" style="190" customWidth="1"/>
    <col min="9734" max="9734" width="7" style="190" customWidth="1"/>
    <col min="9735" max="9986" width="9.08984375" style="190"/>
    <col min="9987" max="9987" width="24.08984375" style="190" customWidth="1"/>
    <col min="9988" max="9988" width="9.54296875" style="190" bestFit="1" customWidth="1"/>
    <col min="9989" max="9989" width="11.54296875" style="190" customWidth="1"/>
    <col min="9990" max="9990" width="7" style="190" customWidth="1"/>
    <col min="9991" max="10242" width="9.08984375" style="190"/>
    <col min="10243" max="10243" width="24.08984375" style="190" customWidth="1"/>
    <col min="10244" max="10244" width="9.54296875" style="190" bestFit="1" customWidth="1"/>
    <col min="10245" max="10245" width="11.54296875" style="190" customWidth="1"/>
    <col min="10246" max="10246" width="7" style="190" customWidth="1"/>
    <col min="10247" max="10498" width="9.08984375" style="190"/>
    <col min="10499" max="10499" width="24.08984375" style="190" customWidth="1"/>
    <col min="10500" max="10500" width="9.54296875" style="190" bestFit="1" customWidth="1"/>
    <col min="10501" max="10501" width="11.54296875" style="190" customWidth="1"/>
    <col min="10502" max="10502" width="7" style="190" customWidth="1"/>
    <col min="10503" max="10754" width="9.08984375" style="190"/>
    <col min="10755" max="10755" width="24.08984375" style="190" customWidth="1"/>
    <col min="10756" max="10756" width="9.54296875" style="190" bestFit="1" customWidth="1"/>
    <col min="10757" max="10757" width="11.54296875" style="190" customWidth="1"/>
    <col min="10758" max="10758" width="7" style="190" customWidth="1"/>
    <col min="10759" max="11010" width="9.08984375" style="190"/>
    <col min="11011" max="11011" width="24.08984375" style="190" customWidth="1"/>
    <col min="11012" max="11012" width="9.54296875" style="190" bestFit="1" customWidth="1"/>
    <col min="11013" max="11013" width="11.54296875" style="190" customWidth="1"/>
    <col min="11014" max="11014" width="7" style="190" customWidth="1"/>
    <col min="11015" max="11266" width="9.08984375" style="190"/>
    <col min="11267" max="11267" width="24.08984375" style="190" customWidth="1"/>
    <col min="11268" max="11268" width="9.54296875" style="190" bestFit="1" customWidth="1"/>
    <col min="11269" max="11269" width="11.54296875" style="190" customWidth="1"/>
    <col min="11270" max="11270" width="7" style="190" customWidth="1"/>
    <col min="11271" max="11522" width="9.08984375" style="190"/>
    <col min="11523" max="11523" width="24.08984375" style="190" customWidth="1"/>
    <col min="11524" max="11524" width="9.54296875" style="190" bestFit="1" customWidth="1"/>
    <col min="11525" max="11525" width="11.54296875" style="190" customWidth="1"/>
    <col min="11526" max="11526" width="7" style="190" customWidth="1"/>
    <col min="11527" max="11778" width="9.08984375" style="190"/>
    <col min="11779" max="11779" width="24.08984375" style="190" customWidth="1"/>
    <col min="11780" max="11780" width="9.54296875" style="190" bestFit="1" customWidth="1"/>
    <col min="11781" max="11781" width="11.54296875" style="190" customWidth="1"/>
    <col min="11782" max="11782" width="7" style="190" customWidth="1"/>
    <col min="11783" max="12034" width="9.08984375" style="190"/>
    <col min="12035" max="12035" width="24.08984375" style="190" customWidth="1"/>
    <col min="12036" max="12036" width="9.54296875" style="190" bestFit="1" customWidth="1"/>
    <col min="12037" max="12037" width="11.54296875" style="190" customWidth="1"/>
    <col min="12038" max="12038" width="7" style="190" customWidth="1"/>
    <col min="12039" max="12290" width="9.08984375" style="190"/>
    <col min="12291" max="12291" width="24.08984375" style="190" customWidth="1"/>
    <col min="12292" max="12292" width="9.54296875" style="190" bestFit="1" customWidth="1"/>
    <col min="12293" max="12293" width="11.54296875" style="190" customWidth="1"/>
    <col min="12294" max="12294" width="7" style="190" customWidth="1"/>
    <col min="12295" max="12546" width="9.08984375" style="190"/>
    <col min="12547" max="12547" width="24.08984375" style="190" customWidth="1"/>
    <col min="12548" max="12548" width="9.54296875" style="190" bestFit="1" customWidth="1"/>
    <col min="12549" max="12549" width="11.54296875" style="190" customWidth="1"/>
    <col min="12550" max="12550" width="7" style="190" customWidth="1"/>
    <col min="12551" max="12802" width="9.08984375" style="190"/>
    <col min="12803" max="12803" width="24.08984375" style="190" customWidth="1"/>
    <col min="12804" max="12804" width="9.54296875" style="190" bestFit="1" customWidth="1"/>
    <col min="12805" max="12805" width="11.54296875" style="190" customWidth="1"/>
    <col min="12806" max="12806" width="7" style="190" customWidth="1"/>
    <col min="12807" max="13058" width="9.08984375" style="190"/>
    <col min="13059" max="13059" width="24.08984375" style="190" customWidth="1"/>
    <col min="13060" max="13060" width="9.54296875" style="190" bestFit="1" customWidth="1"/>
    <col min="13061" max="13061" width="11.54296875" style="190" customWidth="1"/>
    <col min="13062" max="13062" width="7" style="190" customWidth="1"/>
    <col min="13063" max="13314" width="9.08984375" style="190"/>
    <col min="13315" max="13315" width="24.08984375" style="190" customWidth="1"/>
    <col min="13316" max="13316" width="9.54296875" style="190" bestFit="1" customWidth="1"/>
    <col min="13317" max="13317" width="11.54296875" style="190" customWidth="1"/>
    <col min="13318" max="13318" width="7" style="190" customWidth="1"/>
    <col min="13319" max="13570" width="9.08984375" style="190"/>
    <col min="13571" max="13571" width="24.08984375" style="190" customWidth="1"/>
    <col min="13572" max="13572" width="9.54296875" style="190" bestFit="1" customWidth="1"/>
    <col min="13573" max="13573" width="11.54296875" style="190" customWidth="1"/>
    <col min="13574" max="13574" width="7" style="190" customWidth="1"/>
    <col min="13575" max="13826" width="9.08984375" style="190"/>
    <col min="13827" max="13827" width="24.08984375" style="190" customWidth="1"/>
    <col min="13828" max="13828" width="9.54296875" style="190" bestFit="1" customWidth="1"/>
    <col min="13829" max="13829" width="11.54296875" style="190" customWidth="1"/>
    <col min="13830" max="13830" width="7" style="190" customWidth="1"/>
    <col min="13831" max="14082" width="9.08984375" style="190"/>
    <col min="14083" max="14083" width="24.08984375" style="190" customWidth="1"/>
    <col min="14084" max="14084" width="9.54296875" style="190" bestFit="1" customWidth="1"/>
    <col min="14085" max="14085" width="11.54296875" style="190" customWidth="1"/>
    <col min="14086" max="14086" width="7" style="190" customWidth="1"/>
    <col min="14087" max="14338" width="9.08984375" style="190"/>
    <col min="14339" max="14339" width="24.08984375" style="190" customWidth="1"/>
    <col min="14340" max="14340" width="9.54296875" style="190" bestFit="1" customWidth="1"/>
    <col min="14341" max="14341" width="11.54296875" style="190" customWidth="1"/>
    <col min="14342" max="14342" width="7" style="190" customWidth="1"/>
    <col min="14343" max="14594" width="9.08984375" style="190"/>
    <col min="14595" max="14595" width="24.08984375" style="190" customWidth="1"/>
    <col min="14596" max="14596" width="9.54296875" style="190" bestFit="1" customWidth="1"/>
    <col min="14597" max="14597" width="11.54296875" style="190" customWidth="1"/>
    <col min="14598" max="14598" width="7" style="190" customWidth="1"/>
    <col min="14599" max="14850" width="9.08984375" style="190"/>
    <col min="14851" max="14851" width="24.08984375" style="190" customWidth="1"/>
    <col min="14852" max="14852" width="9.54296875" style="190" bestFit="1" customWidth="1"/>
    <col min="14853" max="14853" width="11.54296875" style="190" customWidth="1"/>
    <col min="14854" max="14854" width="7" style="190" customWidth="1"/>
    <col min="14855" max="15106" width="9.08984375" style="190"/>
    <col min="15107" max="15107" width="24.08984375" style="190" customWidth="1"/>
    <col min="15108" max="15108" width="9.54296875" style="190" bestFit="1" customWidth="1"/>
    <col min="15109" max="15109" width="11.54296875" style="190" customWidth="1"/>
    <col min="15110" max="15110" width="7" style="190" customWidth="1"/>
    <col min="15111" max="15362" width="9.08984375" style="190"/>
    <col min="15363" max="15363" width="24.08984375" style="190" customWidth="1"/>
    <col min="15364" max="15364" width="9.54296875" style="190" bestFit="1" customWidth="1"/>
    <col min="15365" max="15365" width="11.54296875" style="190" customWidth="1"/>
    <col min="15366" max="15366" width="7" style="190" customWidth="1"/>
    <col min="15367" max="15618" width="9.08984375" style="190"/>
    <col min="15619" max="15619" width="24.08984375" style="190" customWidth="1"/>
    <col min="15620" max="15620" width="9.54296875" style="190" bestFit="1" customWidth="1"/>
    <col min="15621" max="15621" width="11.54296875" style="190" customWidth="1"/>
    <col min="15622" max="15622" width="7" style="190" customWidth="1"/>
    <col min="15623" max="15874" width="9.08984375" style="190"/>
    <col min="15875" max="15875" width="24.08984375" style="190" customWidth="1"/>
    <col min="15876" max="15876" width="9.54296875" style="190" bestFit="1" customWidth="1"/>
    <col min="15877" max="15877" width="11.54296875" style="190" customWidth="1"/>
    <col min="15878" max="15878" width="7" style="190" customWidth="1"/>
    <col min="15879" max="16130" width="9.08984375" style="190"/>
    <col min="16131" max="16131" width="24.08984375" style="190" customWidth="1"/>
    <col min="16132" max="16132" width="9.54296875" style="190" bestFit="1" customWidth="1"/>
    <col min="16133" max="16133" width="11.54296875" style="190" customWidth="1"/>
    <col min="16134" max="16134" width="7" style="190" customWidth="1"/>
    <col min="16135" max="16384" width="9.08984375" style="190"/>
  </cols>
  <sheetData>
    <row r="1" spans="1:7" ht="23.25" customHeight="1" x14ac:dyDescent="0.3">
      <c r="A1" s="532" t="s">
        <v>173</v>
      </c>
      <c r="B1" s="533"/>
      <c r="C1" s="533"/>
      <c r="D1" s="533"/>
      <c r="E1" s="533"/>
      <c r="F1" s="533"/>
      <c r="G1" s="534"/>
    </row>
    <row r="2" spans="1:7" x14ac:dyDescent="0.3">
      <c r="A2" s="191"/>
      <c r="B2" s="191"/>
      <c r="C2" s="191"/>
      <c r="D2" s="191"/>
      <c r="E2" s="191"/>
      <c r="F2" s="191"/>
      <c r="G2" s="191"/>
    </row>
    <row r="3" spans="1:7" s="193" customFormat="1" ht="13" x14ac:dyDescent="0.3">
      <c r="A3" s="535" t="s">
        <v>174</v>
      </c>
      <c r="B3" s="535"/>
      <c r="C3" s="535"/>
      <c r="D3" s="535"/>
      <c r="E3" s="192"/>
      <c r="F3" s="536" t="s">
        <v>175</v>
      </c>
      <c r="G3" s="536"/>
    </row>
    <row r="4" spans="1:7" s="193" customFormat="1" ht="13" x14ac:dyDescent="0.3">
      <c r="A4" s="194"/>
      <c r="B4" s="194"/>
      <c r="C4" s="194"/>
      <c r="D4" s="194"/>
      <c r="E4" s="195"/>
      <c r="F4" s="195"/>
      <c r="G4" s="195"/>
    </row>
    <row r="5" spans="1:7" s="193" customFormat="1" ht="13" x14ac:dyDescent="0.3">
      <c r="A5" s="537" t="s">
        <v>176</v>
      </c>
      <c r="B5" s="538"/>
      <c r="C5" s="538"/>
      <c r="D5" s="538"/>
      <c r="E5" s="538"/>
      <c r="F5" s="538"/>
      <c r="G5" s="539"/>
    </row>
    <row r="6" spans="1:7" s="193" customFormat="1" ht="13" x14ac:dyDescent="0.3">
      <c r="A6" s="529"/>
      <c r="B6" s="530"/>
      <c r="C6" s="530"/>
      <c r="D6" s="530"/>
      <c r="E6" s="530"/>
      <c r="F6" s="530"/>
      <c r="G6" s="531"/>
    </row>
    <row r="7" spans="1:7" s="193" customFormat="1" ht="13" x14ac:dyDescent="0.3">
      <c r="A7" s="529"/>
      <c r="B7" s="530"/>
      <c r="C7" s="530"/>
      <c r="D7" s="530"/>
      <c r="E7" s="530"/>
      <c r="F7" s="530"/>
      <c r="G7" s="531"/>
    </row>
    <row r="8" spans="1:7" s="193" customFormat="1" ht="13" x14ac:dyDescent="0.3">
      <c r="A8" s="529"/>
      <c r="B8" s="530"/>
      <c r="C8" s="530"/>
      <c r="D8" s="530"/>
      <c r="E8" s="530"/>
      <c r="F8" s="530"/>
      <c r="G8" s="531"/>
    </row>
    <row r="9" spans="1:7" s="193" customFormat="1" ht="13" x14ac:dyDescent="0.3">
      <c r="A9" s="529"/>
      <c r="B9" s="530"/>
      <c r="C9" s="530"/>
      <c r="D9" s="530"/>
      <c r="E9" s="530"/>
      <c r="F9" s="530"/>
      <c r="G9" s="531"/>
    </row>
    <row r="10" spans="1:7" s="193" customFormat="1" ht="13" x14ac:dyDescent="0.3">
      <c r="A10" s="529"/>
      <c r="B10" s="530"/>
      <c r="C10" s="530"/>
      <c r="D10" s="530"/>
      <c r="E10" s="530"/>
      <c r="F10" s="530"/>
      <c r="G10" s="531"/>
    </row>
    <row r="11" spans="1:7" s="193" customFormat="1" ht="13" x14ac:dyDescent="0.3">
      <c r="A11" s="529"/>
      <c r="B11" s="530"/>
      <c r="C11" s="530"/>
      <c r="D11" s="530"/>
      <c r="E11" s="530"/>
      <c r="F11" s="530"/>
      <c r="G11" s="531"/>
    </row>
    <row r="12" spans="1:7" s="193" customFormat="1" ht="13" x14ac:dyDescent="0.3">
      <c r="A12" s="529"/>
      <c r="B12" s="530"/>
      <c r="C12" s="530"/>
      <c r="D12" s="530"/>
      <c r="E12" s="530"/>
      <c r="F12" s="530"/>
      <c r="G12" s="531"/>
    </row>
    <row r="13" spans="1:7" s="193" customFormat="1" ht="13" x14ac:dyDescent="0.3">
      <c r="A13" s="529"/>
      <c r="B13" s="530"/>
      <c r="C13" s="530"/>
      <c r="D13" s="530"/>
      <c r="E13" s="530"/>
      <c r="F13" s="530"/>
      <c r="G13" s="531"/>
    </row>
    <row r="14" spans="1:7" s="193" customFormat="1" ht="13" x14ac:dyDescent="0.3">
      <c r="A14" s="548"/>
      <c r="B14" s="549"/>
      <c r="C14" s="549"/>
      <c r="D14" s="549"/>
      <c r="E14" s="549"/>
      <c r="F14" s="549"/>
      <c r="G14" s="550"/>
    </row>
    <row r="16" spans="1:7" x14ac:dyDescent="0.3">
      <c r="A16" s="542" t="s">
        <v>2</v>
      </c>
      <c r="B16" s="551"/>
      <c r="C16" s="196" t="s">
        <v>177</v>
      </c>
      <c r="D16" s="197">
        <v>450</v>
      </c>
      <c r="E16" s="198" t="s">
        <v>4</v>
      </c>
      <c r="F16" s="198"/>
      <c r="G16" s="199"/>
    </row>
    <row r="17" spans="1:7" x14ac:dyDescent="0.3">
      <c r="A17" s="552"/>
      <c r="B17" s="553"/>
      <c r="C17" s="200" t="s">
        <v>178</v>
      </c>
      <c r="D17" s="201">
        <v>63</v>
      </c>
      <c r="E17" s="202" t="s">
        <v>179</v>
      </c>
      <c r="F17" s="202"/>
      <c r="G17" s="203"/>
    </row>
    <row r="18" spans="1:7" x14ac:dyDescent="0.3">
      <c r="A18" s="552"/>
      <c r="B18" s="553"/>
      <c r="C18" s="204" t="s">
        <v>180</v>
      </c>
      <c r="D18" s="201">
        <v>75</v>
      </c>
      <c r="E18" s="202" t="s">
        <v>181</v>
      </c>
      <c r="F18" s="202"/>
      <c r="G18" s="203"/>
    </row>
    <row r="19" spans="1:7" x14ac:dyDescent="0.3">
      <c r="A19" s="554"/>
      <c r="B19" s="555"/>
      <c r="C19" s="205" t="s">
        <v>182</v>
      </c>
      <c r="D19" s="206">
        <f>D25</f>
        <v>57.333333333333336</v>
      </c>
      <c r="E19" s="207" t="s">
        <v>183</v>
      </c>
      <c r="F19" s="207"/>
      <c r="G19" s="208"/>
    </row>
    <row r="20" spans="1:7" x14ac:dyDescent="0.3">
      <c r="A20" s="540"/>
      <c r="B20" s="540"/>
      <c r="C20" s="541"/>
      <c r="D20" s="541"/>
      <c r="E20" s="541"/>
      <c r="F20" s="541"/>
    </row>
    <row r="21" spans="1:7" x14ac:dyDescent="0.3">
      <c r="A21" s="542" t="s">
        <v>184</v>
      </c>
      <c r="B21" s="551"/>
      <c r="C21" s="196" t="s">
        <v>185</v>
      </c>
      <c r="D21" s="209">
        <v>25</v>
      </c>
      <c r="E21" s="198"/>
      <c r="F21" s="198"/>
      <c r="G21" s="199"/>
    </row>
    <row r="22" spans="1:7" x14ac:dyDescent="0.3">
      <c r="A22" s="552"/>
      <c r="B22" s="553"/>
      <c r="C22" s="204" t="s">
        <v>186</v>
      </c>
      <c r="D22" s="210">
        <v>22</v>
      </c>
      <c r="E22" s="202" t="s">
        <v>187</v>
      </c>
      <c r="F22" s="202"/>
      <c r="G22" s="203"/>
    </row>
    <row r="23" spans="1:7" x14ac:dyDescent="0.3">
      <c r="A23" s="552"/>
      <c r="B23" s="553"/>
      <c r="C23" s="204" t="s">
        <v>188</v>
      </c>
      <c r="D23" s="210">
        <v>6</v>
      </c>
      <c r="E23" s="202" t="s">
        <v>35</v>
      </c>
      <c r="F23" s="202"/>
      <c r="G23" s="203"/>
    </row>
    <row r="24" spans="1:7" x14ac:dyDescent="0.3">
      <c r="A24" s="552"/>
      <c r="B24" s="553"/>
      <c r="C24" s="204" t="s">
        <v>189</v>
      </c>
      <c r="D24" s="210">
        <v>180</v>
      </c>
      <c r="E24" s="202" t="s">
        <v>138</v>
      </c>
      <c r="F24" s="211">
        <f>SUM(D24/60)</f>
        <v>3</v>
      </c>
      <c r="G24" s="203"/>
    </row>
    <row r="25" spans="1:7" x14ac:dyDescent="0.3">
      <c r="A25" s="552"/>
      <c r="B25" s="553"/>
      <c r="C25" s="204" t="s">
        <v>190</v>
      </c>
      <c r="D25" s="212">
        <f>SUM(((D21*D23)+D22)/F24)</f>
        <v>57.333333333333336</v>
      </c>
      <c r="E25" s="202" t="s">
        <v>183</v>
      </c>
      <c r="F25" s="202"/>
      <c r="G25" s="203"/>
    </row>
    <row r="26" spans="1:7" x14ac:dyDescent="0.3">
      <c r="A26" s="554"/>
      <c r="B26" s="555"/>
      <c r="C26" s="205" t="s">
        <v>191</v>
      </c>
      <c r="D26" s="213">
        <f>SUM(D21*D23)</f>
        <v>150</v>
      </c>
      <c r="E26" s="207"/>
      <c r="F26" s="207"/>
      <c r="G26" s="208"/>
    </row>
    <row r="27" spans="1:7" x14ac:dyDescent="0.3">
      <c r="A27" s="540"/>
      <c r="B27" s="540"/>
      <c r="C27" s="541"/>
      <c r="D27" s="541"/>
      <c r="E27" s="541"/>
      <c r="F27" s="541"/>
    </row>
    <row r="28" spans="1:7" x14ac:dyDescent="0.3">
      <c r="A28" s="556" t="s">
        <v>192</v>
      </c>
      <c r="B28" s="557"/>
      <c r="C28" s="196" t="s">
        <v>193</v>
      </c>
      <c r="D28" s="214">
        <v>95.46</v>
      </c>
      <c r="E28" s="198" t="s">
        <v>194</v>
      </c>
      <c r="F28" s="198"/>
      <c r="G28" s="199"/>
    </row>
    <row r="29" spans="1:7" x14ac:dyDescent="0.3">
      <c r="A29" s="558"/>
      <c r="B29" s="559"/>
      <c r="C29" s="204" t="s">
        <v>195</v>
      </c>
      <c r="D29" s="215">
        <v>23.56</v>
      </c>
      <c r="E29" s="202" t="s">
        <v>194</v>
      </c>
      <c r="F29" s="202"/>
      <c r="G29" s="203"/>
    </row>
    <row r="30" spans="1:7" x14ac:dyDescent="0.3">
      <c r="A30" s="558"/>
      <c r="B30" s="559"/>
      <c r="C30" s="204" t="s">
        <v>196</v>
      </c>
      <c r="D30" s="212">
        <f>SUM((D28-D29)*60)</f>
        <v>4313.9999999999991</v>
      </c>
      <c r="E30" s="202" t="s">
        <v>132</v>
      </c>
      <c r="F30" s="202"/>
      <c r="G30" s="203"/>
    </row>
    <row r="31" spans="1:7" x14ac:dyDescent="0.3">
      <c r="A31" s="558"/>
      <c r="B31" s="559"/>
      <c r="C31" s="204" t="s">
        <v>190</v>
      </c>
      <c r="D31" s="212">
        <f>D25</f>
        <v>57.333333333333336</v>
      </c>
      <c r="E31" s="202" t="s">
        <v>183</v>
      </c>
      <c r="F31" s="202"/>
      <c r="G31" s="203"/>
    </row>
    <row r="32" spans="1:7" x14ac:dyDescent="0.3">
      <c r="A32" s="558"/>
      <c r="B32" s="559"/>
      <c r="C32" s="204" t="s">
        <v>180</v>
      </c>
      <c r="D32" s="212">
        <f>D18</f>
        <v>75</v>
      </c>
      <c r="E32" s="202" t="s">
        <v>181</v>
      </c>
      <c r="F32" s="202"/>
      <c r="G32" s="203"/>
    </row>
    <row r="33" spans="1:7" x14ac:dyDescent="0.3">
      <c r="A33" s="560"/>
      <c r="B33" s="561"/>
      <c r="C33" s="205" t="s">
        <v>197</v>
      </c>
      <c r="D33" s="213">
        <f>SUM((D31*D30)/D32)</f>
        <v>3297.813333333333</v>
      </c>
      <c r="E33" s="207" t="s">
        <v>4</v>
      </c>
      <c r="F33" s="207"/>
      <c r="G33" s="208"/>
    </row>
    <row r="34" spans="1:7" x14ac:dyDescent="0.3">
      <c r="A34" s="540"/>
      <c r="B34" s="540"/>
      <c r="C34" s="541"/>
      <c r="D34" s="541"/>
      <c r="E34" s="541"/>
      <c r="F34" s="541"/>
    </row>
    <row r="35" spans="1:7" x14ac:dyDescent="0.3">
      <c r="A35" s="542" t="s">
        <v>198</v>
      </c>
      <c r="B35" s="543"/>
      <c r="C35" s="196" t="s">
        <v>199</v>
      </c>
      <c r="D35" s="209">
        <v>0</v>
      </c>
      <c r="E35" s="198" t="s">
        <v>194</v>
      </c>
      <c r="F35" s="198"/>
      <c r="G35" s="199"/>
    </row>
    <row r="36" spans="1:7" x14ac:dyDescent="0.3">
      <c r="A36" s="544"/>
      <c r="B36" s="545"/>
      <c r="C36" s="204" t="s">
        <v>200</v>
      </c>
      <c r="D36" s="210">
        <v>0</v>
      </c>
      <c r="E36" s="202" t="s">
        <v>194</v>
      </c>
      <c r="F36" s="202"/>
      <c r="G36" s="203"/>
    </row>
    <row r="37" spans="1:7" x14ac:dyDescent="0.3">
      <c r="A37" s="544"/>
      <c r="B37" s="545"/>
      <c r="C37" s="204" t="s">
        <v>201</v>
      </c>
      <c r="D37" s="210">
        <v>0</v>
      </c>
      <c r="E37" s="202" t="s">
        <v>132</v>
      </c>
      <c r="F37" s="202"/>
      <c r="G37" s="203"/>
    </row>
    <row r="38" spans="1:7" x14ac:dyDescent="0.3">
      <c r="A38" s="544"/>
      <c r="B38" s="545"/>
      <c r="C38" s="204" t="s">
        <v>202</v>
      </c>
      <c r="D38" s="210">
        <v>0</v>
      </c>
      <c r="E38" s="202" t="s">
        <v>132</v>
      </c>
      <c r="F38" s="202"/>
      <c r="G38" s="203"/>
    </row>
    <row r="39" spans="1:7" x14ac:dyDescent="0.3">
      <c r="A39" s="544"/>
      <c r="B39" s="545"/>
      <c r="C39" s="204" t="s">
        <v>203</v>
      </c>
      <c r="D39" s="210">
        <v>0</v>
      </c>
      <c r="E39" s="202" t="s">
        <v>138</v>
      </c>
      <c r="F39" s="202"/>
      <c r="G39" s="203"/>
    </row>
    <row r="40" spans="1:7" x14ac:dyDescent="0.3">
      <c r="A40" s="544"/>
      <c r="B40" s="545"/>
      <c r="C40" s="204" t="s">
        <v>204</v>
      </c>
      <c r="D40" s="210">
        <v>0</v>
      </c>
      <c r="E40" s="202" t="s">
        <v>138</v>
      </c>
      <c r="F40" s="202"/>
      <c r="G40" s="203"/>
    </row>
    <row r="41" spans="1:7" x14ac:dyDescent="0.3">
      <c r="A41" s="544"/>
      <c r="B41" s="545"/>
      <c r="C41" s="204" t="s">
        <v>205</v>
      </c>
      <c r="D41" s="212">
        <f>SUM((D35-D36)*60)+(D37-D38)+((D39-D40)/60)</f>
        <v>0</v>
      </c>
      <c r="E41" s="202" t="s">
        <v>132</v>
      </c>
      <c r="F41" s="202"/>
      <c r="G41" s="203"/>
    </row>
    <row r="42" spans="1:7" x14ac:dyDescent="0.3">
      <c r="A42" s="544"/>
      <c r="B42" s="545"/>
      <c r="C42" s="204" t="s">
        <v>206</v>
      </c>
      <c r="D42" s="212">
        <f>D25</f>
        <v>57.333333333333336</v>
      </c>
      <c r="E42" s="202" t="s">
        <v>183</v>
      </c>
      <c r="F42" s="202"/>
      <c r="G42" s="203"/>
    </row>
    <row r="43" spans="1:7" x14ac:dyDescent="0.3">
      <c r="A43" s="546"/>
      <c r="B43" s="547"/>
      <c r="C43" s="205" t="s">
        <v>197</v>
      </c>
      <c r="D43" s="213">
        <f>SUM(D41*D19)/D18</f>
        <v>0</v>
      </c>
      <c r="E43" s="207" t="s">
        <v>4</v>
      </c>
      <c r="F43" s="207"/>
      <c r="G43" s="208"/>
    </row>
    <row r="44" spans="1:7" x14ac:dyDescent="0.3">
      <c r="A44" s="540"/>
      <c r="B44" s="540"/>
      <c r="C44" s="541"/>
      <c r="D44" s="541"/>
      <c r="E44" s="541"/>
      <c r="F44" s="541"/>
    </row>
    <row r="45" spans="1:7" x14ac:dyDescent="0.3">
      <c r="A45" s="542" t="s">
        <v>207</v>
      </c>
      <c r="B45" s="543"/>
      <c r="C45" s="196" t="s">
        <v>208</v>
      </c>
      <c r="D45" s="209">
        <v>101612</v>
      </c>
      <c r="E45" s="198"/>
      <c r="F45" s="198"/>
      <c r="G45" s="199"/>
    </row>
    <row r="46" spans="1:7" x14ac:dyDescent="0.3">
      <c r="A46" s="544"/>
      <c r="B46" s="545"/>
      <c r="C46" s="204" t="s">
        <v>209</v>
      </c>
      <c r="D46" s="210">
        <v>99752</v>
      </c>
      <c r="E46" s="202"/>
      <c r="F46" s="202"/>
      <c r="G46" s="203"/>
    </row>
    <row r="47" spans="1:7" x14ac:dyDescent="0.3">
      <c r="A47" s="544"/>
      <c r="B47" s="545"/>
      <c r="C47" s="204" t="s">
        <v>210</v>
      </c>
      <c r="D47" s="212">
        <f>SUM(D45-D46)</f>
        <v>1860</v>
      </c>
      <c r="E47" s="202"/>
      <c r="F47" s="202"/>
      <c r="G47" s="203"/>
    </row>
    <row r="48" spans="1:7" x14ac:dyDescent="0.3">
      <c r="A48" s="546"/>
      <c r="B48" s="547"/>
      <c r="C48" s="205" t="s">
        <v>197</v>
      </c>
      <c r="D48" s="213">
        <f>SUM(D47*D26)/D18</f>
        <v>3720</v>
      </c>
      <c r="E48" s="207" t="s">
        <v>4</v>
      </c>
      <c r="F48" s="207"/>
      <c r="G48" s="208"/>
    </row>
  </sheetData>
  <sheetProtection password="CAAB" sheet="1" objects="1" scenarios="1"/>
  <mergeCells count="22">
    <mergeCell ref="A34:F34"/>
    <mergeCell ref="A35:B43"/>
    <mergeCell ref="A44:F44"/>
    <mergeCell ref="A45:B48"/>
    <mergeCell ref="A14:G14"/>
    <mergeCell ref="A16:B19"/>
    <mergeCell ref="A20:F20"/>
    <mergeCell ref="A21:B26"/>
    <mergeCell ref="A27:F27"/>
    <mergeCell ref="A28:B33"/>
    <mergeCell ref="A13:G13"/>
    <mergeCell ref="A1:G1"/>
    <mergeCell ref="A3:D3"/>
    <mergeCell ref="F3:G3"/>
    <mergeCell ref="A5:G5"/>
    <mergeCell ref="A6:G6"/>
    <mergeCell ref="A7:G7"/>
    <mergeCell ref="A8:G8"/>
    <mergeCell ref="A9:G9"/>
    <mergeCell ref="A10:G10"/>
    <mergeCell ref="A11:G11"/>
    <mergeCell ref="A12:G12"/>
  </mergeCells>
  <pageMargins left="0.75" right="0.75" top="0.75" bottom="0.75" header="0" footer="0"/>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Page</vt:lpstr>
      <vt:lpstr>Design</vt:lpstr>
      <vt:lpstr>Pump Calcs-1.25in</vt:lpstr>
      <vt:lpstr>Sloped Site Calcs</vt:lpstr>
      <vt:lpstr>Kaplan Calcs</vt:lpstr>
      <vt:lpstr>Allen Calcs</vt:lpstr>
      <vt:lpstr>Poeter Calcs</vt:lpstr>
      <vt:lpstr>Flow per Panel Readings</vt:lpstr>
      <vt:lpstr>Design!Print_Area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Enoch</dc:creator>
  <cp:lastModifiedBy>Kolin Bishop</cp:lastModifiedBy>
  <cp:lastPrinted>2022-11-15T01:27:24Z</cp:lastPrinted>
  <dcterms:created xsi:type="dcterms:W3CDTF">2022-11-04T00:44:30Z</dcterms:created>
  <dcterms:modified xsi:type="dcterms:W3CDTF">2024-09-06T15:40:32Z</dcterms:modified>
</cp:coreProperties>
</file>